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kunal.yadav/Downloads/"/>
    </mc:Choice>
  </mc:AlternateContent>
  <xr:revisionPtr revIDLastSave="0" documentId="13_ncr:1_{0C7AF33B-120D-0245-AA66-7CC721BA4170}" xr6:coauthVersionLast="47" xr6:coauthVersionMax="47" xr10:uidLastSave="{00000000-0000-0000-0000-000000000000}"/>
  <bookViews>
    <workbookView xWindow="0" yWindow="760" windowWidth="34560" windowHeight="20200" activeTab="8" xr2:uid="{5098CFAC-8F86-A54D-AB8B-CC8A40A41F25}"/>
  </bookViews>
  <sheets>
    <sheet name="Master (2)" sheetId="8" state="hidden" r:id="rId1"/>
    <sheet name="Master" sheetId="1" r:id="rId2"/>
    <sheet name="APR" sheetId="3" r:id="rId3"/>
    <sheet name="MAY" sheetId="4" r:id="rId4"/>
    <sheet name="JUN" sheetId="5" r:id="rId5"/>
    <sheet name="JUL" sheetId="6" r:id="rId6"/>
    <sheet name="AUG" sheetId="9" r:id="rId7"/>
    <sheet name="SEP" sheetId="10" r:id="rId8"/>
    <sheet name="OCT"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11" l="1"/>
  <c r="H87" i="11"/>
  <c r="H13" i="11"/>
  <c r="H97" i="11"/>
  <c r="H93" i="11"/>
  <c r="H94" i="11"/>
  <c r="H92" i="11"/>
  <c r="H96" i="11"/>
  <c r="H37" i="11"/>
  <c r="H91" i="11"/>
  <c r="G87" i="11"/>
  <c r="G92" i="11"/>
  <c r="G42" i="11"/>
  <c r="K87" i="11"/>
  <c r="F16" i="11"/>
  <c r="F94" i="11"/>
  <c r="F92" i="11"/>
  <c r="F42" i="11"/>
  <c r="F93" i="11"/>
  <c r="F96" i="11"/>
  <c r="F97" i="11"/>
  <c r="E5" i="11"/>
  <c r="K98" i="11"/>
  <c r="K97" i="11"/>
  <c r="K96" i="11"/>
  <c r="K95" i="11"/>
  <c r="K94" i="11"/>
  <c r="K92" i="11"/>
  <c r="J91" i="11"/>
  <c r="J99" i="11" s="1"/>
  <c r="I91" i="11"/>
  <c r="I99" i="11" s="1"/>
  <c r="G91" i="11"/>
  <c r="F91" i="11"/>
  <c r="E91" i="11"/>
  <c r="K90" i="11"/>
  <c r="K89" i="11"/>
  <c r="J88" i="11"/>
  <c r="I88" i="11"/>
  <c r="H88" i="11"/>
  <c r="G88" i="11"/>
  <c r="E88" i="11"/>
  <c r="J86" i="11"/>
  <c r="I86" i="11"/>
  <c r="H86" i="11"/>
  <c r="G86" i="11"/>
  <c r="F86" i="11"/>
  <c r="E86" i="11"/>
  <c r="K85" i="11"/>
  <c r="K84" i="11"/>
  <c r="K83" i="11"/>
  <c r="K82" i="11"/>
  <c r="K81" i="11"/>
  <c r="K80" i="11"/>
  <c r="K79" i="11"/>
  <c r="K78" i="11"/>
  <c r="K77" i="11"/>
  <c r="K76" i="11"/>
  <c r="K75" i="11"/>
  <c r="K74" i="11"/>
  <c r="K73" i="11"/>
  <c r="K72" i="11"/>
  <c r="K71" i="11"/>
  <c r="K70" i="11"/>
  <c r="K69" i="11"/>
  <c r="J68" i="11"/>
  <c r="K68" i="11" s="1"/>
  <c r="I68" i="11"/>
  <c r="H68" i="11"/>
  <c r="G68" i="11"/>
  <c r="F68" i="11"/>
  <c r="E68" i="11"/>
  <c r="K67" i="11"/>
  <c r="K66" i="11"/>
  <c r="K65" i="11"/>
  <c r="K64" i="11"/>
  <c r="K63" i="11"/>
  <c r="K62" i="11"/>
  <c r="K61" i="11"/>
  <c r="K60" i="11"/>
  <c r="K59" i="11"/>
  <c r="K58" i="11"/>
  <c r="K57" i="11"/>
  <c r="K56" i="11"/>
  <c r="J55" i="11"/>
  <c r="I55" i="11"/>
  <c r="K55" i="11" s="1"/>
  <c r="H55" i="11"/>
  <c r="G55" i="11"/>
  <c r="F55" i="11"/>
  <c r="E55" i="11"/>
  <c r="K54" i="11"/>
  <c r="K53" i="11"/>
  <c r="F50" i="11"/>
  <c r="K50" i="11" s="1"/>
  <c r="K51" i="11"/>
  <c r="J50" i="11"/>
  <c r="I50" i="11"/>
  <c r="H50" i="11"/>
  <c r="G50" i="11"/>
  <c r="E50" i="11"/>
  <c r="K49" i="11"/>
  <c r="K48" i="11"/>
  <c r="K47" i="11"/>
  <c r="K46" i="11"/>
  <c r="K45" i="11"/>
  <c r="K44" i="11"/>
  <c r="J43" i="11"/>
  <c r="I43" i="11"/>
  <c r="H43" i="11"/>
  <c r="G43" i="11"/>
  <c r="F43" i="11"/>
  <c r="E43" i="11"/>
  <c r="K43" i="11" s="1"/>
  <c r="H41" i="11"/>
  <c r="J41" i="11"/>
  <c r="I41" i="11"/>
  <c r="G41" i="11"/>
  <c r="F41" i="11"/>
  <c r="E41" i="11"/>
  <c r="K40" i="11"/>
  <c r="J39" i="11"/>
  <c r="I39" i="11"/>
  <c r="H39" i="11"/>
  <c r="G39" i="11"/>
  <c r="F39" i="11"/>
  <c r="E39" i="11"/>
  <c r="K39" i="11" s="1"/>
  <c r="K38" i="11"/>
  <c r="H34" i="11"/>
  <c r="K36" i="11"/>
  <c r="K35" i="11"/>
  <c r="J34" i="11"/>
  <c r="I34" i="11"/>
  <c r="G34" i="11"/>
  <c r="F34" i="11"/>
  <c r="E34" i="11"/>
  <c r="K33" i="11"/>
  <c r="F27" i="11"/>
  <c r="K30" i="11"/>
  <c r="K29" i="11"/>
  <c r="K28" i="11"/>
  <c r="J27" i="11"/>
  <c r="I27" i="11"/>
  <c r="H27" i="11"/>
  <c r="G27" i="11"/>
  <c r="E27" i="11"/>
  <c r="K27" i="11" s="1"/>
  <c r="K26" i="11"/>
  <c r="K25" i="11"/>
  <c r="K24" i="11"/>
  <c r="K23" i="11"/>
  <c r="K22" i="11"/>
  <c r="K21" i="11"/>
  <c r="K20" i="11"/>
  <c r="K19" i="11"/>
  <c r="K18" i="11"/>
  <c r="J17" i="11"/>
  <c r="I17" i="11"/>
  <c r="H17" i="11"/>
  <c r="G17" i="11"/>
  <c r="F17" i="11"/>
  <c r="E17" i="11"/>
  <c r="K17" i="11" s="1"/>
  <c r="K16" i="11"/>
  <c r="J15" i="11"/>
  <c r="I15" i="11"/>
  <c r="H15" i="11"/>
  <c r="G15" i="11"/>
  <c r="F15" i="11"/>
  <c r="E15" i="11"/>
  <c r="K14" i="11"/>
  <c r="K13" i="11"/>
  <c r="K12" i="11"/>
  <c r="K11" i="11"/>
  <c r="K10" i="11"/>
  <c r="K9" i="11"/>
  <c r="J8" i="11"/>
  <c r="I8" i="11"/>
  <c r="H8" i="11"/>
  <c r="G8" i="11"/>
  <c r="F8" i="11"/>
  <c r="E8" i="11"/>
  <c r="K7" i="11"/>
  <c r="K6" i="11"/>
  <c r="K5" i="11"/>
  <c r="J4" i="11"/>
  <c r="I4" i="11"/>
  <c r="H4" i="11"/>
  <c r="G4" i="11"/>
  <c r="F4" i="11"/>
  <c r="E4" i="11"/>
  <c r="K4" i="11" s="1"/>
  <c r="H92" i="10"/>
  <c r="H89" i="10"/>
  <c r="H94" i="10"/>
  <c r="H42" i="10"/>
  <c r="H87" i="10"/>
  <c r="H26" i="10"/>
  <c r="H97" i="10"/>
  <c r="H36" i="10"/>
  <c r="H37" i="10"/>
  <c r="K94" i="10"/>
  <c r="F92" i="10"/>
  <c r="F94" i="10"/>
  <c r="F46" i="10"/>
  <c r="F32" i="10"/>
  <c r="F89" i="10"/>
  <c r="F97" i="10"/>
  <c r="F90" i="10"/>
  <c r="F52" i="10"/>
  <c r="K98" i="10"/>
  <c r="K97" i="10"/>
  <c r="K96" i="10"/>
  <c r="K95" i="10"/>
  <c r="I91" i="10"/>
  <c r="K93" i="10"/>
  <c r="K92" i="10"/>
  <c r="J91" i="10"/>
  <c r="J99" i="10" s="1"/>
  <c r="G91" i="10"/>
  <c r="F91" i="10"/>
  <c r="E91" i="10"/>
  <c r="K90" i="10"/>
  <c r="K89" i="10"/>
  <c r="J88" i="10"/>
  <c r="I88" i="10"/>
  <c r="H88" i="10"/>
  <c r="G88" i="10"/>
  <c r="F88" i="10"/>
  <c r="E88" i="10"/>
  <c r="K87" i="10"/>
  <c r="J86" i="10"/>
  <c r="I86" i="10"/>
  <c r="H86" i="10"/>
  <c r="G86" i="10"/>
  <c r="F86" i="10"/>
  <c r="E86" i="10"/>
  <c r="K85" i="10"/>
  <c r="K84" i="10"/>
  <c r="K83" i="10"/>
  <c r="K82" i="10"/>
  <c r="K81" i="10"/>
  <c r="K80" i="10"/>
  <c r="K79" i="10"/>
  <c r="K78" i="10"/>
  <c r="K77" i="10"/>
  <c r="K76" i="10"/>
  <c r="K75" i="10"/>
  <c r="K74" i="10"/>
  <c r="K73" i="10"/>
  <c r="K72" i="10"/>
  <c r="K71" i="10"/>
  <c r="K70" i="10"/>
  <c r="K69" i="10"/>
  <c r="K68" i="10"/>
  <c r="J68" i="10"/>
  <c r="I68" i="10"/>
  <c r="H68" i="10"/>
  <c r="G68" i="10"/>
  <c r="F68" i="10"/>
  <c r="E68" i="10"/>
  <c r="K67" i="10"/>
  <c r="K66" i="10"/>
  <c r="K65" i="10"/>
  <c r="K64" i="10"/>
  <c r="K63" i="10"/>
  <c r="K62" i="10"/>
  <c r="K61" i="10"/>
  <c r="K60" i="10"/>
  <c r="K59" i="10"/>
  <c r="K58" i="10"/>
  <c r="K57" i="10"/>
  <c r="K56" i="10"/>
  <c r="J55" i="10"/>
  <c r="I55" i="10"/>
  <c r="H55" i="10"/>
  <c r="G55" i="10"/>
  <c r="E55" i="10"/>
  <c r="K54" i="10"/>
  <c r="K53" i="10"/>
  <c r="I50" i="10"/>
  <c r="K51" i="10"/>
  <c r="J50" i="10"/>
  <c r="H50" i="10"/>
  <c r="G50" i="10"/>
  <c r="F50" i="10"/>
  <c r="E50" i="10"/>
  <c r="K49" i="10"/>
  <c r="K48" i="10"/>
  <c r="K47" i="10"/>
  <c r="K46" i="10"/>
  <c r="K45" i="10"/>
  <c r="K44" i="10"/>
  <c r="J43" i="10"/>
  <c r="I43" i="10"/>
  <c r="H43" i="10"/>
  <c r="G43" i="10"/>
  <c r="F43" i="10"/>
  <c r="E43" i="10"/>
  <c r="K42" i="10"/>
  <c r="J41" i="10"/>
  <c r="I41" i="10"/>
  <c r="H41" i="10"/>
  <c r="G41" i="10"/>
  <c r="F41" i="10"/>
  <c r="E41" i="10"/>
  <c r="K40" i="10"/>
  <c r="J39" i="10"/>
  <c r="I39" i="10"/>
  <c r="H39" i="10"/>
  <c r="G39" i="10"/>
  <c r="F39" i="10"/>
  <c r="E39" i="10"/>
  <c r="K39" i="10" s="1"/>
  <c r="K38" i="10"/>
  <c r="K37" i="10"/>
  <c r="K36" i="10"/>
  <c r="K35" i="10"/>
  <c r="J34" i="10"/>
  <c r="I34" i="10"/>
  <c r="H34" i="10"/>
  <c r="G34" i="10"/>
  <c r="F34" i="10"/>
  <c r="E34" i="10"/>
  <c r="K33" i="10"/>
  <c r="K30" i="10"/>
  <c r="K29" i="10"/>
  <c r="K28" i="10"/>
  <c r="J27" i="10"/>
  <c r="I27" i="10"/>
  <c r="H27" i="10"/>
  <c r="G27" i="10"/>
  <c r="F27" i="10"/>
  <c r="E27" i="10"/>
  <c r="K26" i="10"/>
  <c r="K25" i="10"/>
  <c r="K24" i="10"/>
  <c r="K23" i="10"/>
  <c r="K22" i="10"/>
  <c r="K21" i="10"/>
  <c r="K20" i="10"/>
  <c r="K19" i="10"/>
  <c r="K18" i="10"/>
  <c r="J17" i="10"/>
  <c r="I17" i="10"/>
  <c r="H17" i="10"/>
  <c r="G17" i="10"/>
  <c r="F17" i="10"/>
  <c r="E17" i="10"/>
  <c r="K16" i="10"/>
  <c r="K15" i="10"/>
  <c r="J15" i="10"/>
  <c r="I15" i="10"/>
  <c r="H15" i="10"/>
  <c r="G15" i="10"/>
  <c r="F15" i="10"/>
  <c r="E15" i="10"/>
  <c r="K14" i="10"/>
  <c r="K13" i="10"/>
  <c r="K12" i="10"/>
  <c r="K11" i="10"/>
  <c r="K10" i="10"/>
  <c r="K9" i="10"/>
  <c r="J8" i="10"/>
  <c r="I8" i="10"/>
  <c r="H8" i="10"/>
  <c r="G8" i="10"/>
  <c r="F8" i="10"/>
  <c r="E8" i="10"/>
  <c r="K7" i="10"/>
  <c r="K6" i="10"/>
  <c r="K5" i="10"/>
  <c r="J4" i="10"/>
  <c r="I4" i="10"/>
  <c r="H4" i="10"/>
  <c r="G4" i="10"/>
  <c r="F4" i="10"/>
  <c r="E4" i="10"/>
  <c r="I7" i="9"/>
  <c r="G7" i="9"/>
  <c r="I52" i="9"/>
  <c r="I94" i="9"/>
  <c r="K93" i="9"/>
  <c r="R93" i="1" s="1"/>
  <c r="H89" i="9"/>
  <c r="H97" i="9"/>
  <c r="H90" i="9"/>
  <c r="H11" i="9"/>
  <c r="H92" i="9"/>
  <c r="G36" i="9"/>
  <c r="G93" i="9"/>
  <c r="G94" i="9"/>
  <c r="G92" i="9"/>
  <c r="G32" i="9"/>
  <c r="G47" i="9"/>
  <c r="G97" i="9"/>
  <c r="G90" i="9"/>
  <c r="R98" i="1"/>
  <c r="R96" i="1"/>
  <c r="R95" i="1"/>
  <c r="R89" i="1"/>
  <c r="R87" i="1"/>
  <c r="R85" i="1"/>
  <c r="R84" i="1"/>
  <c r="R83" i="1"/>
  <c r="R82" i="1"/>
  <c r="R81" i="1"/>
  <c r="R80" i="1"/>
  <c r="R79" i="1"/>
  <c r="R78" i="1"/>
  <c r="R77" i="1"/>
  <c r="R76" i="1"/>
  <c r="R75" i="1"/>
  <c r="R74" i="1"/>
  <c r="R73" i="1"/>
  <c r="R72" i="1"/>
  <c r="R71" i="1"/>
  <c r="R70" i="1"/>
  <c r="R69" i="1"/>
  <c r="R67" i="1"/>
  <c r="R66" i="1"/>
  <c r="R65" i="1"/>
  <c r="R64" i="1"/>
  <c r="R63" i="1"/>
  <c r="R62" i="1"/>
  <c r="R61" i="1"/>
  <c r="R60" i="1"/>
  <c r="R59" i="1"/>
  <c r="R58" i="1"/>
  <c r="R57" i="1"/>
  <c r="R56" i="1"/>
  <c r="R54" i="1"/>
  <c r="R53" i="1"/>
  <c r="R51" i="1"/>
  <c r="R49" i="1"/>
  <c r="R48" i="1"/>
  <c r="R46" i="1"/>
  <c r="R45" i="1"/>
  <c r="R44" i="1"/>
  <c r="R42" i="1"/>
  <c r="R40" i="1"/>
  <c r="R38" i="1"/>
  <c r="R37" i="1"/>
  <c r="R36" i="1"/>
  <c r="R35" i="1"/>
  <c r="R33" i="1"/>
  <c r="R32" i="1"/>
  <c r="R31" i="1"/>
  <c r="R30" i="1"/>
  <c r="R29" i="1"/>
  <c r="R28" i="1"/>
  <c r="R26" i="1"/>
  <c r="R19" i="1"/>
  <c r="R20" i="1"/>
  <c r="R21" i="1"/>
  <c r="R22" i="1"/>
  <c r="R23" i="1"/>
  <c r="R24" i="1"/>
  <c r="R25" i="1"/>
  <c r="R18" i="1"/>
  <c r="R16" i="1"/>
  <c r="R10" i="1"/>
  <c r="R11" i="1"/>
  <c r="R12" i="1"/>
  <c r="R13" i="1"/>
  <c r="R14" i="1"/>
  <c r="R9" i="1"/>
  <c r="R6" i="1"/>
  <c r="R5" i="1"/>
  <c r="F97" i="9"/>
  <c r="F14" i="9"/>
  <c r="F59" i="9"/>
  <c r="F30" i="9"/>
  <c r="K98" i="9"/>
  <c r="K97" i="9"/>
  <c r="R97" i="1" s="1"/>
  <c r="K96" i="9"/>
  <c r="K95" i="9"/>
  <c r="K94" i="9"/>
  <c r="R94" i="1" s="1"/>
  <c r="K92" i="9"/>
  <c r="R92" i="1" s="1"/>
  <c r="J91" i="9"/>
  <c r="I91" i="9"/>
  <c r="G91" i="9"/>
  <c r="F91" i="9"/>
  <c r="E91" i="9"/>
  <c r="K90" i="9"/>
  <c r="R90" i="1" s="1"/>
  <c r="K89" i="9"/>
  <c r="J88" i="9"/>
  <c r="J99" i="9" s="1"/>
  <c r="I88" i="9"/>
  <c r="H88" i="9"/>
  <c r="G88" i="9"/>
  <c r="F88" i="9"/>
  <c r="E88" i="9"/>
  <c r="K87" i="9"/>
  <c r="J86" i="9"/>
  <c r="I86" i="9"/>
  <c r="K86" i="9" s="1"/>
  <c r="H86" i="9"/>
  <c r="G86" i="9"/>
  <c r="F86" i="9"/>
  <c r="E86" i="9"/>
  <c r="K85" i="9"/>
  <c r="K84" i="9"/>
  <c r="K83" i="9"/>
  <c r="K82" i="9"/>
  <c r="K81" i="9"/>
  <c r="K80" i="9"/>
  <c r="K79" i="9"/>
  <c r="K78" i="9"/>
  <c r="K77" i="9"/>
  <c r="K76" i="9"/>
  <c r="K75" i="9"/>
  <c r="K74" i="9"/>
  <c r="K73" i="9"/>
  <c r="K72" i="9"/>
  <c r="K71" i="9"/>
  <c r="K70" i="9"/>
  <c r="K69" i="9"/>
  <c r="J68" i="9"/>
  <c r="I68" i="9"/>
  <c r="H68" i="9"/>
  <c r="G68" i="9"/>
  <c r="F68" i="9"/>
  <c r="E68" i="9"/>
  <c r="K67" i="9"/>
  <c r="K66" i="9"/>
  <c r="K65" i="9"/>
  <c r="K64" i="9"/>
  <c r="K63" i="9"/>
  <c r="K62" i="9"/>
  <c r="K61" i="9"/>
  <c r="K60" i="9"/>
  <c r="K59" i="9"/>
  <c r="K58" i="9"/>
  <c r="K57" i="9"/>
  <c r="K56" i="9"/>
  <c r="J55" i="9"/>
  <c r="I55" i="9"/>
  <c r="H55" i="9"/>
  <c r="G55" i="9"/>
  <c r="F55" i="9"/>
  <c r="E55" i="9"/>
  <c r="K55" i="9" s="1"/>
  <c r="K54" i="9"/>
  <c r="K53" i="9"/>
  <c r="K52" i="9"/>
  <c r="R52" i="1" s="1"/>
  <c r="K51" i="9"/>
  <c r="J50" i="9"/>
  <c r="I50" i="9"/>
  <c r="H50" i="9"/>
  <c r="G50" i="9"/>
  <c r="F50" i="9"/>
  <c r="E50" i="9"/>
  <c r="K49" i="9"/>
  <c r="K48" i="9"/>
  <c r="K47" i="9"/>
  <c r="R47" i="1" s="1"/>
  <c r="K46" i="9"/>
  <c r="K45" i="9"/>
  <c r="K44" i="9"/>
  <c r="J43" i="9"/>
  <c r="I43" i="9"/>
  <c r="H43" i="9"/>
  <c r="K43" i="9" s="1"/>
  <c r="G43" i="9"/>
  <c r="F43" i="9"/>
  <c r="E43" i="9"/>
  <c r="K42" i="9"/>
  <c r="J41" i="9"/>
  <c r="I41" i="9"/>
  <c r="H41" i="9"/>
  <c r="G41" i="9"/>
  <c r="F41" i="9"/>
  <c r="K41" i="9" s="1"/>
  <c r="E41" i="9"/>
  <c r="K40" i="9"/>
  <c r="J39" i="9"/>
  <c r="I39" i="9"/>
  <c r="H39" i="9"/>
  <c r="G39" i="9"/>
  <c r="F39" i="9"/>
  <c r="E39" i="9"/>
  <c r="K39" i="9" s="1"/>
  <c r="K38" i="9"/>
  <c r="K37" i="9"/>
  <c r="K36" i="9"/>
  <c r="K35" i="9"/>
  <c r="J34" i="9"/>
  <c r="I34" i="9"/>
  <c r="H34" i="9"/>
  <c r="G34" i="9"/>
  <c r="F34" i="9"/>
  <c r="E34" i="9"/>
  <c r="K33" i="9"/>
  <c r="K30" i="9"/>
  <c r="K29" i="9"/>
  <c r="K28" i="9"/>
  <c r="J27" i="9"/>
  <c r="I27" i="9"/>
  <c r="H27" i="9"/>
  <c r="G27" i="9"/>
  <c r="F27" i="9"/>
  <c r="E27" i="9"/>
  <c r="E99" i="9" s="1"/>
  <c r="K26" i="9"/>
  <c r="K25" i="9"/>
  <c r="K24" i="9"/>
  <c r="K23" i="9"/>
  <c r="K22" i="9"/>
  <c r="K21" i="9"/>
  <c r="K20" i="9"/>
  <c r="K19" i="9"/>
  <c r="K18" i="9"/>
  <c r="J17" i="9"/>
  <c r="I17" i="9"/>
  <c r="H17" i="9"/>
  <c r="G17" i="9"/>
  <c r="F17" i="9"/>
  <c r="E17" i="9"/>
  <c r="K17" i="9" s="1"/>
  <c r="K16" i="9"/>
  <c r="K15" i="9"/>
  <c r="J15" i="9"/>
  <c r="I15" i="9"/>
  <c r="H15" i="9"/>
  <c r="G15" i="9"/>
  <c r="F15" i="9"/>
  <c r="E15" i="9"/>
  <c r="K14" i="9"/>
  <c r="K13" i="9"/>
  <c r="K12" i="9"/>
  <c r="K11" i="9"/>
  <c r="K10" i="9"/>
  <c r="K9" i="9"/>
  <c r="J8" i="9"/>
  <c r="I8" i="9"/>
  <c r="H8" i="9"/>
  <c r="G8" i="9"/>
  <c r="F8" i="9"/>
  <c r="E8" i="9"/>
  <c r="K7" i="9"/>
  <c r="R7" i="1" s="1"/>
  <c r="K6" i="9"/>
  <c r="K5" i="9"/>
  <c r="J4" i="9"/>
  <c r="I4" i="9"/>
  <c r="H4" i="9"/>
  <c r="G4" i="9"/>
  <c r="F4" i="9"/>
  <c r="E4" i="9"/>
  <c r="F6" i="8"/>
  <c r="AO6" i="8" s="1"/>
  <c r="F7" i="8"/>
  <c r="F5" i="8"/>
  <c r="E107" i="8"/>
  <c r="E110" i="8" s="1"/>
  <c r="AN103" i="8"/>
  <c r="AN102" i="8"/>
  <c r="AN98" i="8"/>
  <c r="O98" i="8"/>
  <c r="L98" i="8"/>
  <c r="I98" i="8"/>
  <c r="F98" i="8"/>
  <c r="AO98" i="8" s="1"/>
  <c r="AP98" i="8" s="1"/>
  <c r="O97" i="8"/>
  <c r="L97" i="8"/>
  <c r="I97" i="8"/>
  <c r="F97" i="8"/>
  <c r="AO97" i="8" s="1"/>
  <c r="E97" i="8"/>
  <c r="AN96" i="8"/>
  <c r="AP96" i="8" s="1"/>
  <c r="O96" i="8"/>
  <c r="AO96" i="8" s="1"/>
  <c r="L96" i="8"/>
  <c r="I96" i="8"/>
  <c r="F96" i="8"/>
  <c r="H96" i="8" s="1"/>
  <c r="K96" i="8" s="1"/>
  <c r="N96" i="8" s="1"/>
  <c r="Q96" i="8" s="1"/>
  <c r="T96" i="8" s="1"/>
  <c r="W96" i="8" s="1"/>
  <c r="Z96" i="8" s="1"/>
  <c r="AC96" i="8" s="1"/>
  <c r="AF96" i="8" s="1"/>
  <c r="AI96" i="8" s="1"/>
  <c r="AL96" i="8" s="1"/>
  <c r="AN95" i="8"/>
  <c r="AI95" i="8"/>
  <c r="AL95" i="8" s="1"/>
  <c r="O95" i="8"/>
  <c r="L95" i="8"/>
  <c r="I95" i="8"/>
  <c r="K95" i="8" s="1"/>
  <c r="N95" i="8" s="1"/>
  <c r="Q95" i="8" s="1"/>
  <c r="T95" i="8" s="1"/>
  <c r="W95" i="8" s="1"/>
  <c r="Z95" i="8" s="1"/>
  <c r="AC95" i="8" s="1"/>
  <c r="AF95" i="8" s="1"/>
  <c r="H95" i="8"/>
  <c r="F95" i="8"/>
  <c r="AN94" i="8"/>
  <c r="O94" i="8"/>
  <c r="L94" i="8"/>
  <c r="L91" i="8" s="1"/>
  <c r="I94" i="8"/>
  <c r="I91" i="8" s="1"/>
  <c r="H94" i="8"/>
  <c r="F94" i="8"/>
  <c r="AN93" i="8"/>
  <c r="O93" i="8"/>
  <c r="L93" i="8"/>
  <c r="I93" i="8"/>
  <c r="F93" i="8"/>
  <c r="AO93" i="8" s="1"/>
  <c r="AP93" i="8" s="1"/>
  <c r="AN92" i="8"/>
  <c r="O92" i="8"/>
  <c r="L92" i="8"/>
  <c r="I92" i="8"/>
  <c r="F92" i="8"/>
  <c r="AM91" i="8"/>
  <c r="AK91" i="8"/>
  <c r="AJ91" i="8"/>
  <c r="AH91" i="8"/>
  <c r="AG91" i="8"/>
  <c r="AE91" i="8"/>
  <c r="AD91" i="8"/>
  <c r="AB91" i="8"/>
  <c r="AA91" i="8"/>
  <c r="Y91" i="8"/>
  <c r="X91" i="8"/>
  <c r="V91" i="8"/>
  <c r="U91" i="8"/>
  <c r="S91" i="8"/>
  <c r="R91" i="8"/>
  <c r="P91" i="8"/>
  <c r="M91" i="8"/>
  <c r="J91" i="8"/>
  <c r="G91" i="8"/>
  <c r="AO90" i="8"/>
  <c r="AP90" i="8" s="1"/>
  <c r="AN90" i="8"/>
  <c r="O90" i="8"/>
  <c r="L90" i="8"/>
  <c r="I90" i="8"/>
  <c r="K90" i="8" s="1"/>
  <c r="N90" i="8" s="1"/>
  <c r="Q90" i="8" s="1"/>
  <c r="T90" i="8" s="1"/>
  <c r="W90" i="8" s="1"/>
  <c r="Z90" i="8" s="1"/>
  <c r="AC90" i="8" s="1"/>
  <c r="AF90" i="8" s="1"/>
  <c r="AI90" i="8" s="1"/>
  <c r="AL90" i="8" s="1"/>
  <c r="F90" i="8"/>
  <c r="H90" i="8" s="1"/>
  <c r="AN89" i="8"/>
  <c r="O89" i="8"/>
  <c r="L89" i="8"/>
  <c r="L88" i="8" s="1"/>
  <c r="I89" i="8"/>
  <c r="F89" i="8"/>
  <c r="AM88" i="8"/>
  <c r="AK88" i="8"/>
  <c r="AJ88" i="8"/>
  <c r="AH88" i="8"/>
  <c r="AG88" i="8"/>
  <c r="AE88" i="8"/>
  <c r="AD88" i="8"/>
  <c r="AB88" i="8"/>
  <c r="AA88" i="8"/>
  <c r="Y88" i="8"/>
  <c r="X88" i="8"/>
  <c r="V88" i="8"/>
  <c r="U88" i="8"/>
  <c r="S88" i="8"/>
  <c r="R88" i="8"/>
  <c r="P88" i="8"/>
  <c r="O88" i="8"/>
  <c r="M88" i="8"/>
  <c r="J88" i="8"/>
  <c r="G88" i="8"/>
  <c r="F88" i="8"/>
  <c r="E88" i="8"/>
  <c r="AO87" i="8"/>
  <c r="AP87" i="8" s="1"/>
  <c r="AN87" i="8"/>
  <c r="O87" i="8"/>
  <c r="L87" i="8"/>
  <c r="I87" i="8"/>
  <c r="H87" i="8"/>
  <c r="F87" i="8"/>
  <c r="F86" i="8" s="1"/>
  <c r="AM86" i="8"/>
  <c r="AK86" i="8"/>
  <c r="AJ86" i="8"/>
  <c r="AH86" i="8"/>
  <c r="AG86" i="8"/>
  <c r="AE86" i="8"/>
  <c r="AD86" i="8"/>
  <c r="AB86" i="8"/>
  <c r="AA86" i="8"/>
  <c r="Y86" i="8"/>
  <c r="X86" i="8"/>
  <c r="V86" i="8"/>
  <c r="U86" i="8"/>
  <c r="S86" i="8"/>
  <c r="R86" i="8"/>
  <c r="P86" i="8"/>
  <c r="O86" i="8"/>
  <c r="M86" i="8"/>
  <c r="L86" i="8"/>
  <c r="J86" i="8"/>
  <c r="I86" i="8"/>
  <c r="AO86" i="8" s="1"/>
  <c r="G86" i="8"/>
  <c r="E86" i="8"/>
  <c r="AN85" i="8"/>
  <c r="O85" i="8"/>
  <c r="L85" i="8"/>
  <c r="I85" i="8"/>
  <c r="F85" i="8"/>
  <c r="H85" i="8" s="1"/>
  <c r="K85" i="8" s="1"/>
  <c r="N85" i="8" s="1"/>
  <c r="Q85" i="8" s="1"/>
  <c r="T85" i="8" s="1"/>
  <c r="W85" i="8" s="1"/>
  <c r="Z85" i="8" s="1"/>
  <c r="AC85" i="8" s="1"/>
  <c r="AF85" i="8" s="1"/>
  <c r="AI85" i="8" s="1"/>
  <c r="AL85" i="8" s="1"/>
  <c r="AN84" i="8"/>
  <c r="O84" i="8"/>
  <c r="L84" i="8"/>
  <c r="I84" i="8"/>
  <c r="F84" i="8"/>
  <c r="AO84" i="8" s="1"/>
  <c r="AN83" i="8"/>
  <c r="O83" i="8"/>
  <c r="L83" i="8"/>
  <c r="I83" i="8"/>
  <c r="F83" i="8"/>
  <c r="H83" i="8" s="1"/>
  <c r="K83" i="8" s="1"/>
  <c r="N83" i="8" s="1"/>
  <c r="AN82" i="8"/>
  <c r="O82" i="8"/>
  <c r="L82" i="8"/>
  <c r="I82" i="8"/>
  <c r="F82" i="8"/>
  <c r="AN81" i="8"/>
  <c r="Q81" i="8"/>
  <c r="T81" i="8" s="1"/>
  <c r="W81" i="8" s="1"/>
  <c r="Z81" i="8" s="1"/>
  <c r="AC81" i="8" s="1"/>
  <c r="AF81" i="8" s="1"/>
  <c r="AI81" i="8" s="1"/>
  <c r="AL81" i="8" s="1"/>
  <c r="O81" i="8"/>
  <c r="N81" i="8"/>
  <c r="L81" i="8"/>
  <c r="I81" i="8"/>
  <c r="F81" i="8"/>
  <c r="H81" i="8" s="1"/>
  <c r="K81" i="8" s="1"/>
  <c r="AN80" i="8"/>
  <c r="O80" i="8"/>
  <c r="L80" i="8"/>
  <c r="I80" i="8"/>
  <c r="F80" i="8"/>
  <c r="AN79" i="8"/>
  <c r="O79" i="8"/>
  <c r="L79" i="8"/>
  <c r="AO79" i="8" s="1"/>
  <c r="I79" i="8"/>
  <c r="F79" i="8"/>
  <c r="H79" i="8" s="1"/>
  <c r="K79" i="8" s="1"/>
  <c r="N79" i="8" s="1"/>
  <c r="Q79" i="8" s="1"/>
  <c r="T79" i="8" s="1"/>
  <c r="W79" i="8" s="1"/>
  <c r="Z79" i="8" s="1"/>
  <c r="AC79" i="8" s="1"/>
  <c r="AF79" i="8" s="1"/>
  <c r="AI79" i="8" s="1"/>
  <c r="AL79" i="8" s="1"/>
  <c r="AN78" i="8"/>
  <c r="O78" i="8"/>
  <c r="L78" i="8"/>
  <c r="I78" i="8"/>
  <c r="F78" i="8"/>
  <c r="AN77" i="8"/>
  <c r="O77" i="8"/>
  <c r="L77" i="8"/>
  <c r="I77" i="8"/>
  <c r="F77" i="8"/>
  <c r="H77" i="8" s="1"/>
  <c r="K77" i="8" s="1"/>
  <c r="N77" i="8" s="1"/>
  <c r="Q77" i="8" s="1"/>
  <c r="T77" i="8" s="1"/>
  <c r="W77" i="8" s="1"/>
  <c r="Z77" i="8" s="1"/>
  <c r="AC77" i="8" s="1"/>
  <c r="AF77" i="8" s="1"/>
  <c r="AI77" i="8" s="1"/>
  <c r="AL77" i="8" s="1"/>
  <c r="AN76" i="8"/>
  <c r="AP76" i="8" s="1"/>
  <c r="O76" i="8"/>
  <c r="L76" i="8"/>
  <c r="I76" i="8"/>
  <c r="AO76" i="8" s="1"/>
  <c r="F76" i="8"/>
  <c r="H76" i="8" s="1"/>
  <c r="AN75" i="8"/>
  <c r="O75" i="8"/>
  <c r="L75" i="8"/>
  <c r="I75" i="8"/>
  <c r="F75" i="8"/>
  <c r="AN74" i="8"/>
  <c r="O74" i="8"/>
  <c r="L74" i="8"/>
  <c r="AO74" i="8" s="1"/>
  <c r="I74" i="8"/>
  <c r="F74" i="8"/>
  <c r="H74" i="8" s="1"/>
  <c r="K74" i="8" s="1"/>
  <c r="AN73" i="8"/>
  <c r="O73" i="8"/>
  <c r="L73" i="8"/>
  <c r="I73" i="8"/>
  <c r="H73" i="8"/>
  <c r="K73" i="8" s="1"/>
  <c r="N73" i="8" s="1"/>
  <c r="Q73" i="8" s="1"/>
  <c r="T73" i="8" s="1"/>
  <c r="W73" i="8" s="1"/>
  <c r="Z73" i="8" s="1"/>
  <c r="AC73" i="8" s="1"/>
  <c r="AF73" i="8" s="1"/>
  <c r="AI73" i="8" s="1"/>
  <c r="AL73" i="8" s="1"/>
  <c r="F73" i="8"/>
  <c r="AN72" i="8"/>
  <c r="O72" i="8"/>
  <c r="L72" i="8"/>
  <c r="I72" i="8"/>
  <c r="F72" i="8"/>
  <c r="AO72" i="8" s="1"/>
  <c r="AO71" i="8"/>
  <c r="AP71" i="8" s="1"/>
  <c r="AN71" i="8"/>
  <c r="O71" i="8"/>
  <c r="L71" i="8"/>
  <c r="I71" i="8"/>
  <c r="K71" i="8" s="1"/>
  <c r="N71" i="8" s="1"/>
  <c r="Q71" i="8" s="1"/>
  <c r="T71" i="8" s="1"/>
  <c r="W71" i="8" s="1"/>
  <c r="Z71" i="8" s="1"/>
  <c r="AC71" i="8" s="1"/>
  <c r="AF71" i="8" s="1"/>
  <c r="AI71" i="8" s="1"/>
  <c r="AL71" i="8" s="1"/>
  <c r="F71" i="8"/>
  <c r="H71" i="8" s="1"/>
  <c r="AN70" i="8"/>
  <c r="AP70" i="8" s="1"/>
  <c r="O70" i="8"/>
  <c r="L70" i="8"/>
  <c r="I70" i="8"/>
  <c r="F70" i="8"/>
  <c r="AO70" i="8" s="1"/>
  <c r="AN69" i="8"/>
  <c r="O69" i="8"/>
  <c r="O68" i="8" s="1"/>
  <c r="L69" i="8"/>
  <c r="I69" i="8"/>
  <c r="F69" i="8"/>
  <c r="H69" i="8" s="1"/>
  <c r="K69" i="8" s="1"/>
  <c r="AM68" i="8"/>
  <c r="AK68" i="8"/>
  <c r="AJ68" i="8"/>
  <c r="AH68" i="8"/>
  <c r="AG68" i="8"/>
  <c r="AE68" i="8"/>
  <c r="AD68" i="8"/>
  <c r="AB68" i="8"/>
  <c r="AA68" i="8"/>
  <c r="Y68" i="8"/>
  <c r="X68" i="8"/>
  <c r="V68" i="8"/>
  <c r="U68" i="8"/>
  <c r="S68" i="8"/>
  <c r="R68" i="8"/>
  <c r="P68" i="8"/>
  <c r="M68" i="8"/>
  <c r="J68" i="8"/>
  <c r="G68" i="8"/>
  <c r="E68" i="8"/>
  <c r="AN67" i="8"/>
  <c r="O67" i="8"/>
  <c r="L67" i="8"/>
  <c r="I67" i="8"/>
  <c r="F67" i="8"/>
  <c r="AO66" i="8"/>
  <c r="AP66" i="8" s="1"/>
  <c r="AN66" i="8"/>
  <c r="O66" i="8"/>
  <c r="L66" i="8"/>
  <c r="I66" i="8"/>
  <c r="F66" i="8"/>
  <c r="H66" i="8" s="1"/>
  <c r="K66" i="8" s="1"/>
  <c r="N66" i="8" s="1"/>
  <c r="Q66" i="8" s="1"/>
  <c r="T66" i="8" s="1"/>
  <c r="W66" i="8" s="1"/>
  <c r="Z66" i="8" s="1"/>
  <c r="AC66" i="8" s="1"/>
  <c r="AF66" i="8" s="1"/>
  <c r="AI66" i="8" s="1"/>
  <c r="AL66" i="8" s="1"/>
  <c r="AN65" i="8"/>
  <c r="AF65" i="8"/>
  <c r="AI65" i="8" s="1"/>
  <c r="AL65" i="8" s="1"/>
  <c r="O65" i="8"/>
  <c r="L65" i="8"/>
  <c r="I65" i="8"/>
  <c r="AO65" i="8" s="1"/>
  <c r="AP65" i="8" s="1"/>
  <c r="H65" i="8"/>
  <c r="K65" i="8" s="1"/>
  <c r="N65" i="8" s="1"/>
  <c r="Q65" i="8" s="1"/>
  <c r="T65" i="8" s="1"/>
  <c r="W65" i="8" s="1"/>
  <c r="Z65" i="8" s="1"/>
  <c r="AC65" i="8" s="1"/>
  <c r="F65" i="8"/>
  <c r="AN64" i="8"/>
  <c r="O64" i="8"/>
  <c r="L64" i="8"/>
  <c r="I64" i="8"/>
  <c r="F64" i="8"/>
  <c r="AO64" i="8" s="1"/>
  <c r="O63" i="8"/>
  <c r="M63" i="8"/>
  <c r="L63" i="8"/>
  <c r="AO63" i="8" s="1"/>
  <c r="I63" i="8"/>
  <c r="F63" i="8"/>
  <c r="H63" i="8" s="1"/>
  <c r="K63" i="8" s="1"/>
  <c r="AN62" i="8"/>
  <c r="O62" i="8"/>
  <c r="M62" i="8"/>
  <c r="L62" i="8"/>
  <c r="I62" i="8"/>
  <c r="H62" i="8"/>
  <c r="F62" i="8"/>
  <c r="AN61" i="8"/>
  <c r="AP61" i="8" s="1"/>
  <c r="O61" i="8"/>
  <c r="L61" i="8"/>
  <c r="I61" i="8"/>
  <c r="F61" i="8"/>
  <c r="AO61" i="8" s="1"/>
  <c r="AO60" i="8"/>
  <c r="AP60" i="8" s="1"/>
  <c r="AN60" i="8"/>
  <c r="O60" i="8"/>
  <c r="L60" i="8"/>
  <c r="I60" i="8"/>
  <c r="F60" i="8"/>
  <c r="H60" i="8" s="1"/>
  <c r="K60" i="8" s="1"/>
  <c r="N60" i="8" s="1"/>
  <c r="Q60" i="8" s="1"/>
  <c r="T60" i="8" s="1"/>
  <c r="W60" i="8" s="1"/>
  <c r="Z60" i="8" s="1"/>
  <c r="AC60" i="8" s="1"/>
  <c r="AF60" i="8" s="1"/>
  <c r="AI60" i="8" s="1"/>
  <c r="AL60" i="8" s="1"/>
  <c r="AN59" i="8"/>
  <c r="AP59" i="8" s="1"/>
  <c r="O59" i="8"/>
  <c r="L59" i="8"/>
  <c r="I59" i="8"/>
  <c r="AO59" i="8" s="1"/>
  <c r="H59" i="8"/>
  <c r="K59" i="8" s="1"/>
  <c r="N59" i="8" s="1"/>
  <c r="Q59" i="8" s="1"/>
  <c r="T59" i="8" s="1"/>
  <c r="W59" i="8" s="1"/>
  <c r="Z59" i="8" s="1"/>
  <c r="AC59" i="8" s="1"/>
  <c r="AF59" i="8" s="1"/>
  <c r="AI59" i="8" s="1"/>
  <c r="AL59" i="8" s="1"/>
  <c r="F59" i="8"/>
  <c r="AN58" i="8"/>
  <c r="O58" i="8"/>
  <c r="L58" i="8"/>
  <c r="I58" i="8"/>
  <c r="F58" i="8"/>
  <c r="AN57" i="8"/>
  <c r="O57" i="8"/>
  <c r="L57" i="8"/>
  <c r="AO57" i="8" s="1"/>
  <c r="AP57" i="8" s="1"/>
  <c r="I57" i="8"/>
  <c r="F57" i="8"/>
  <c r="H57" i="8" s="1"/>
  <c r="K57" i="8" s="1"/>
  <c r="AN56" i="8"/>
  <c r="O56" i="8"/>
  <c r="L56" i="8"/>
  <c r="I56" i="8"/>
  <c r="F56" i="8"/>
  <c r="H56" i="8" s="1"/>
  <c r="K56" i="8" s="1"/>
  <c r="AM55" i="8"/>
  <c r="AK55" i="8"/>
  <c r="AJ55" i="8"/>
  <c r="AH55" i="8"/>
  <c r="AG55" i="8"/>
  <c r="AE55" i="8"/>
  <c r="AD55" i="8"/>
  <c r="AB55" i="8"/>
  <c r="AA55" i="8"/>
  <c r="Y55" i="8"/>
  <c r="X55" i="8"/>
  <c r="V55" i="8"/>
  <c r="U55" i="8"/>
  <c r="S55" i="8"/>
  <c r="R55" i="8"/>
  <c r="P55" i="8"/>
  <c r="J55" i="8"/>
  <c r="G55" i="8"/>
  <c r="E55" i="8"/>
  <c r="AN54" i="8"/>
  <c r="O54" i="8"/>
  <c r="O50" i="8" s="1"/>
  <c r="L54" i="8"/>
  <c r="I54" i="8"/>
  <c r="F54" i="8"/>
  <c r="AO54" i="8" s="1"/>
  <c r="AP54" i="8" s="1"/>
  <c r="AO53" i="8"/>
  <c r="AN53" i="8"/>
  <c r="AP53" i="8" s="1"/>
  <c r="AL53" i="8"/>
  <c r="W53" i="8"/>
  <c r="Z53" i="8" s="1"/>
  <c r="AC53" i="8" s="1"/>
  <c r="AF53" i="8" s="1"/>
  <c r="AI53" i="8" s="1"/>
  <c r="O53" i="8"/>
  <c r="L53" i="8"/>
  <c r="I53" i="8"/>
  <c r="F53" i="8"/>
  <c r="H53" i="8" s="1"/>
  <c r="K53" i="8" s="1"/>
  <c r="N53" i="8" s="1"/>
  <c r="Q53" i="8" s="1"/>
  <c r="T53" i="8" s="1"/>
  <c r="AN52" i="8"/>
  <c r="O52" i="8"/>
  <c r="L52" i="8"/>
  <c r="AO52" i="8" s="1"/>
  <c r="I52" i="8"/>
  <c r="F52" i="8"/>
  <c r="H52" i="8" s="1"/>
  <c r="K52" i="8" s="1"/>
  <c r="N52" i="8" s="1"/>
  <c r="Q52" i="8" s="1"/>
  <c r="T52" i="8" s="1"/>
  <c r="W52" i="8" s="1"/>
  <c r="Z52" i="8" s="1"/>
  <c r="AC52" i="8" s="1"/>
  <c r="AF52" i="8" s="1"/>
  <c r="AI52" i="8" s="1"/>
  <c r="AL52" i="8" s="1"/>
  <c r="AN51" i="8"/>
  <c r="O51" i="8"/>
  <c r="L51" i="8"/>
  <c r="I51" i="8"/>
  <c r="I50" i="8" s="1"/>
  <c r="F51" i="8"/>
  <c r="AM50" i="8"/>
  <c r="AK50" i="8"/>
  <c r="AJ50" i="8"/>
  <c r="AH50" i="8"/>
  <c r="AG50" i="8"/>
  <c r="AE50" i="8"/>
  <c r="AD50" i="8"/>
  <c r="AB50" i="8"/>
  <c r="AA50" i="8"/>
  <c r="Y50" i="8"/>
  <c r="X50" i="8"/>
  <c r="V50" i="8"/>
  <c r="U50" i="8"/>
  <c r="S50" i="8"/>
  <c r="R50" i="8"/>
  <c r="P50" i="8"/>
  <c r="M50" i="8"/>
  <c r="J50" i="8"/>
  <c r="G50" i="8"/>
  <c r="F50" i="8"/>
  <c r="E50" i="8"/>
  <c r="AN49" i="8"/>
  <c r="O49" i="8"/>
  <c r="L49" i="8"/>
  <c r="I49" i="8"/>
  <c r="F49" i="8"/>
  <c r="AO48" i="8"/>
  <c r="AN48" i="8"/>
  <c r="T48" i="8"/>
  <c r="W48" i="8" s="1"/>
  <c r="Z48" i="8" s="1"/>
  <c r="AC48" i="8" s="1"/>
  <c r="AF48" i="8" s="1"/>
  <c r="AI48" i="8" s="1"/>
  <c r="AL48" i="8" s="1"/>
  <c r="O48" i="8"/>
  <c r="L48" i="8"/>
  <c r="I48" i="8"/>
  <c r="F48" i="8"/>
  <c r="H48" i="8" s="1"/>
  <c r="K48" i="8" s="1"/>
  <c r="N48" i="8" s="1"/>
  <c r="Q48" i="8" s="1"/>
  <c r="AN47" i="8"/>
  <c r="O47" i="8"/>
  <c r="L47" i="8"/>
  <c r="K47" i="8"/>
  <c r="N47" i="8" s="1"/>
  <c r="Q47" i="8" s="1"/>
  <c r="T47" i="8" s="1"/>
  <c r="W47" i="8" s="1"/>
  <c r="Z47" i="8" s="1"/>
  <c r="AC47" i="8" s="1"/>
  <c r="AF47" i="8" s="1"/>
  <c r="AI47" i="8" s="1"/>
  <c r="AL47" i="8" s="1"/>
  <c r="I47" i="8"/>
  <c r="AO47" i="8" s="1"/>
  <c r="F47" i="8"/>
  <c r="H47" i="8" s="1"/>
  <c r="E47" i="8"/>
  <c r="AN46" i="8"/>
  <c r="O46" i="8"/>
  <c r="L46" i="8"/>
  <c r="L43" i="8" s="1"/>
  <c r="K46" i="8"/>
  <c r="N46" i="8" s="1"/>
  <c r="Q46" i="8" s="1"/>
  <c r="T46" i="8" s="1"/>
  <c r="W46" i="8" s="1"/>
  <c r="Z46" i="8" s="1"/>
  <c r="AC46" i="8" s="1"/>
  <c r="AF46" i="8" s="1"/>
  <c r="AI46" i="8" s="1"/>
  <c r="AL46" i="8" s="1"/>
  <c r="I46" i="8"/>
  <c r="AO46" i="8" s="1"/>
  <c r="H46" i="8"/>
  <c r="F46" i="8"/>
  <c r="AN45" i="8"/>
  <c r="O45" i="8"/>
  <c r="L45" i="8"/>
  <c r="I45" i="8"/>
  <c r="F45" i="8"/>
  <c r="AN44" i="8"/>
  <c r="O44" i="8"/>
  <c r="L44" i="8"/>
  <c r="I44" i="8"/>
  <c r="I43" i="8" s="1"/>
  <c r="H44" i="8"/>
  <c r="F44" i="8"/>
  <c r="AM43" i="8"/>
  <c r="AK43" i="8"/>
  <c r="AJ43" i="8"/>
  <c r="AH43" i="8"/>
  <c r="AG43" i="8"/>
  <c r="AE43" i="8"/>
  <c r="AD43" i="8"/>
  <c r="AB43" i="8"/>
  <c r="AA43" i="8"/>
  <c r="Y43" i="8"/>
  <c r="X43" i="8"/>
  <c r="V43" i="8"/>
  <c r="U43" i="8"/>
  <c r="S43" i="8"/>
  <c r="R43" i="8"/>
  <c r="P43" i="8"/>
  <c r="M43" i="8"/>
  <c r="J43" i="8"/>
  <c r="G43" i="8"/>
  <c r="E43" i="8"/>
  <c r="AN42" i="8"/>
  <c r="T42" i="8"/>
  <c r="Q42" i="8"/>
  <c r="Q41" i="8" s="1"/>
  <c r="O42" i="8"/>
  <c r="O41" i="8" s="1"/>
  <c r="N42" i="8"/>
  <c r="N41" i="8" s="1"/>
  <c r="L42" i="8"/>
  <c r="K42" i="8"/>
  <c r="I42" i="8"/>
  <c r="H42" i="8"/>
  <c r="F42" i="8"/>
  <c r="AN41" i="8"/>
  <c r="AM41" i="8"/>
  <c r="AK41" i="8"/>
  <c r="AJ41" i="8"/>
  <c r="AH41" i="8"/>
  <c r="AG41" i="8"/>
  <c r="AE41" i="8"/>
  <c r="AD41" i="8"/>
  <c r="AB41" i="8"/>
  <c r="AA41" i="8"/>
  <c r="Y41" i="8"/>
  <c r="X41" i="8"/>
  <c r="V41" i="8"/>
  <c r="U41" i="8"/>
  <c r="S41" i="8"/>
  <c r="R41" i="8"/>
  <c r="P41" i="8"/>
  <c r="M41" i="8"/>
  <c r="K41" i="8"/>
  <c r="J41" i="8"/>
  <c r="I41" i="8"/>
  <c r="H41" i="8"/>
  <c r="G41" i="8"/>
  <c r="F41" i="8"/>
  <c r="E41" i="8"/>
  <c r="AN40" i="8"/>
  <c r="O40" i="8"/>
  <c r="L40" i="8"/>
  <c r="I40" i="8"/>
  <c r="I39" i="8" s="1"/>
  <c r="F40" i="8"/>
  <c r="AO40" i="8" s="1"/>
  <c r="AP40" i="8" s="1"/>
  <c r="AM39" i="8"/>
  <c r="AK39" i="8"/>
  <c r="AJ39" i="8"/>
  <c r="AH39" i="8"/>
  <c r="AG39" i="8"/>
  <c r="AE39" i="8"/>
  <c r="AD39" i="8"/>
  <c r="AB39" i="8"/>
  <c r="AA39" i="8"/>
  <c r="Y39" i="8"/>
  <c r="X39" i="8"/>
  <c r="V39" i="8"/>
  <c r="U39" i="8"/>
  <c r="S39" i="8"/>
  <c r="R39" i="8"/>
  <c r="P39" i="8"/>
  <c r="O39" i="8"/>
  <c r="M39" i="8"/>
  <c r="L39" i="8"/>
  <c r="J39" i="8"/>
  <c r="G39" i="8"/>
  <c r="F39" i="8"/>
  <c r="AO39" i="8" s="1"/>
  <c r="E39" i="8"/>
  <c r="AN38" i="8"/>
  <c r="O38" i="8"/>
  <c r="L38" i="8"/>
  <c r="I38" i="8"/>
  <c r="F38" i="8"/>
  <c r="H38" i="8" s="1"/>
  <c r="K38" i="8" s="1"/>
  <c r="N38" i="8" s="1"/>
  <c r="Q38" i="8" s="1"/>
  <c r="T38" i="8" s="1"/>
  <c r="W38" i="8" s="1"/>
  <c r="Z38" i="8" s="1"/>
  <c r="AC38" i="8" s="1"/>
  <c r="AF38" i="8" s="1"/>
  <c r="AI38" i="8" s="1"/>
  <c r="AL38" i="8" s="1"/>
  <c r="AN37" i="8"/>
  <c r="AP37" i="8" s="1"/>
  <c r="O37" i="8"/>
  <c r="L37" i="8"/>
  <c r="AO37" i="8" s="1"/>
  <c r="K37" i="8"/>
  <c r="I37" i="8"/>
  <c r="H37" i="8"/>
  <c r="F37" i="8"/>
  <c r="O36" i="8"/>
  <c r="L36" i="8"/>
  <c r="I36" i="8"/>
  <c r="I34" i="8" s="1"/>
  <c r="F36" i="8"/>
  <c r="AO36" i="8" s="1"/>
  <c r="E36" i="8"/>
  <c r="AN36" i="8" s="1"/>
  <c r="AP36" i="8" s="1"/>
  <c r="AN35" i="8"/>
  <c r="O35" i="8"/>
  <c r="O34" i="8" s="1"/>
  <c r="L35" i="8"/>
  <c r="L34" i="8" s="1"/>
  <c r="I35" i="8"/>
  <c r="F35" i="8"/>
  <c r="AM34" i="8"/>
  <c r="AK34" i="8"/>
  <c r="AJ34" i="8"/>
  <c r="AH34" i="8"/>
  <c r="AG34" i="8"/>
  <c r="AE34" i="8"/>
  <c r="AD34" i="8"/>
  <c r="AB34" i="8"/>
  <c r="AA34" i="8"/>
  <c r="Y34" i="8"/>
  <c r="X34" i="8"/>
  <c r="V34" i="8"/>
  <c r="U34" i="8"/>
  <c r="S34" i="8"/>
  <c r="R34" i="8"/>
  <c r="P34" i="8"/>
  <c r="M34" i="8"/>
  <c r="J34" i="8"/>
  <c r="G34" i="8"/>
  <c r="E34" i="8"/>
  <c r="AN33" i="8"/>
  <c r="O33" i="8"/>
  <c r="L33" i="8"/>
  <c r="I33" i="8"/>
  <c r="F33" i="8"/>
  <c r="AN32" i="8"/>
  <c r="AP32" i="8" s="1"/>
  <c r="O32" i="8"/>
  <c r="N32" i="8"/>
  <c r="Q32" i="8" s="1"/>
  <c r="T32" i="8" s="1"/>
  <c r="W32" i="8" s="1"/>
  <c r="Z32" i="8" s="1"/>
  <c r="AC32" i="8" s="1"/>
  <c r="AF32" i="8" s="1"/>
  <c r="AI32" i="8" s="1"/>
  <c r="AL32" i="8" s="1"/>
  <c r="L32" i="8"/>
  <c r="AO32" i="8" s="1"/>
  <c r="K32" i="8"/>
  <c r="I32" i="8"/>
  <c r="F32" i="8"/>
  <c r="H32" i="8" s="1"/>
  <c r="AN31" i="8"/>
  <c r="O31" i="8"/>
  <c r="L31" i="8"/>
  <c r="I31" i="8"/>
  <c r="F31" i="8"/>
  <c r="AO31" i="8" s="1"/>
  <c r="AO30" i="8"/>
  <c r="AN30" i="8"/>
  <c r="O30" i="8"/>
  <c r="L30" i="8"/>
  <c r="I30" i="8"/>
  <c r="H30" i="8"/>
  <c r="K30" i="8" s="1"/>
  <c r="N30" i="8" s="1"/>
  <c r="Q30" i="8" s="1"/>
  <c r="T30" i="8" s="1"/>
  <c r="W30" i="8" s="1"/>
  <c r="Z30" i="8" s="1"/>
  <c r="AC30" i="8" s="1"/>
  <c r="AF30" i="8" s="1"/>
  <c r="AI30" i="8" s="1"/>
  <c r="AL30" i="8" s="1"/>
  <c r="F30" i="8"/>
  <c r="AN29" i="8"/>
  <c r="O29" i="8"/>
  <c r="O27" i="8" s="1"/>
  <c r="L29" i="8"/>
  <c r="L27" i="8" s="1"/>
  <c r="I29" i="8"/>
  <c r="AO29" i="8" s="1"/>
  <c r="AP29" i="8" s="1"/>
  <c r="F29" i="8"/>
  <c r="H29" i="8" s="1"/>
  <c r="K29" i="8" s="1"/>
  <c r="N29" i="8" s="1"/>
  <c r="Q29" i="8" s="1"/>
  <c r="T29" i="8" s="1"/>
  <c r="W29" i="8" s="1"/>
  <c r="Z29" i="8" s="1"/>
  <c r="AC29" i="8" s="1"/>
  <c r="AF29" i="8" s="1"/>
  <c r="AI29" i="8" s="1"/>
  <c r="AL29" i="8" s="1"/>
  <c r="AN28" i="8"/>
  <c r="O28" i="8"/>
  <c r="M28" i="8"/>
  <c r="L28" i="8"/>
  <c r="I28" i="8"/>
  <c r="F28" i="8"/>
  <c r="AO28" i="8" s="1"/>
  <c r="AM27" i="8"/>
  <c r="AK27" i="8"/>
  <c r="AJ27" i="8"/>
  <c r="AH27" i="8"/>
  <c r="AG27" i="8"/>
  <c r="AE27" i="8"/>
  <c r="AD27" i="8"/>
  <c r="AB27" i="8"/>
  <c r="AA27" i="8"/>
  <c r="Y27" i="8"/>
  <c r="X27" i="8"/>
  <c r="V27" i="8"/>
  <c r="U27" i="8"/>
  <c r="S27" i="8"/>
  <c r="R27" i="8"/>
  <c r="P27" i="8"/>
  <c r="M27" i="8"/>
  <c r="J27" i="8"/>
  <c r="G27" i="8"/>
  <c r="E27" i="8"/>
  <c r="AN26" i="8"/>
  <c r="O26" i="8"/>
  <c r="L26" i="8"/>
  <c r="I26" i="8"/>
  <c r="AO26" i="8" s="1"/>
  <c r="AP26" i="8" s="1"/>
  <c r="H26" i="8"/>
  <c r="F26" i="8"/>
  <c r="AN25" i="8"/>
  <c r="O25" i="8"/>
  <c r="L25" i="8"/>
  <c r="I25" i="8"/>
  <c r="AO25" i="8" s="1"/>
  <c r="H25" i="8"/>
  <c r="F25" i="8"/>
  <c r="AN24" i="8"/>
  <c r="O24" i="8"/>
  <c r="L24" i="8"/>
  <c r="I24" i="8"/>
  <c r="F24" i="8"/>
  <c r="AN23" i="8"/>
  <c r="O23" i="8"/>
  <c r="L23" i="8"/>
  <c r="I23" i="8"/>
  <c r="F23" i="8"/>
  <c r="AO23" i="8" s="1"/>
  <c r="AP23" i="8" s="1"/>
  <c r="AN22" i="8"/>
  <c r="O22" i="8"/>
  <c r="L22" i="8"/>
  <c r="N22" i="8" s="1"/>
  <c r="Q22" i="8" s="1"/>
  <c r="T22" i="8" s="1"/>
  <c r="W22" i="8" s="1"/>
  <c r="Z22" i="8" s="1"/>
  <c r="AC22" i="8" s="1"/>
  <c r="AF22" i="8" s="1"/>
  <c r="AI22" i="8" s="1"/>
  <c r="AL22" i="8" s="1"/>
  <c r="K22" i="8"/>
  <c r="I22" i="8"/>
  <c r="F22" i="8"/>
  <c r="H22" i="8" s="1"/>
  <c r="AN21" i="8"/>
  <c r="O21" i="8"/>
  <c r="L21" i="8"/>
  <c r="I21" i="8"/>
  <c r="AO21" i="8" s="1"/>
  <c r="H21" i="8"/>
  <c r="K21" i="8" s="1"/>
  <c r="N21" i="8" s="1"/>
  <c r="Q21" i="8" s="1"/>
  <c r="T21" i="8" s="1"/>
  <c r="W21" i="8" s="1"/>
  <c r="Z21" i="8" s="1"/>
  <c r="AC21" i="8" s="1"/>
  <c r="AF21" i="8" s="1"/>
  <c r="AI21" i="8" s="1"/>
  <c r="AL21" i="8" s="1"/>
  <c r="F21" i="8"/>
  <c r="AN20" i="8"/>
  <c r="O20" i="8"/>
  <c r="L20" i="8"/>
  <c r="I20" i="8"/>
  <c r="I17" i="8" s="1"/>
  <c r="F20" i="8"/>
  <c r="AN19" i="8"/>
  <c r="AP19" i="8" s="1"/>
  <c r="O19" i="8"/>
  <c r="L19" i="8"/>
  <c r="L17" i="8" s="1"/>
  <c r="I19" i="8"/>
  <c r="F19" i="8"/>
  <c r="AO19" i="8" s="1"/>
  <c r="AN18" i="8"/>
  <c r="O18" i="8"/>
  <c r="AO18" i="8" s="1"/>
  <c r="AP18" i="8" s="1"/>
  <c r="L18" i="8"/>
  <c r="I18" i="8"/>
  <c r="F18" i="8"/>
  <c r="H18" i="8" s="1"/>
  <c r="AM17" i="8"/>
  <c r="AK17" i="8"/>
  <c r="AJ17" i="8"/>
  <c r="AH17" i="8"/>
  <c r="AG17" i="8"/>
  <c r="AE17" i="8"/>
  <c r="AD17" i="8"/>
  <c r="AB17" i="8"/>
  <c r="AA17" i="8"/>
  <c r="Y17" i="8"/>
  <c r="X17" i="8"/>
  <c r="V17" i="8"/>
  <c r="U17" i="8"/>
  <c r="S17" i="8"/>
  <c r="R17" i="8"/>
  <c r="P17" i="8"/>
  <c r="O17" i="8"/>
  <c r="M17" i="8"/>
  <c r="J17" i="8"/>
  <c r="G17" i="8"/>
  <c r="E17" i="8"/>
  <c r="AN17" i="8" s="1"/>
  <c r="AN16" i="8"/>
  <c r="O16" i="8"/>
  <c r="O15" i="8" s="1"/>
  <c r="N16" i="8"/>
  <c r="N15" i="8" s="1"/>
  <c r="L16" i="8"/>
  <c r="L15" i="8" s="1"/>
  <c r="AO15" i="8" s="1"/>
  <c r="I16" i="8"/>
  <c r="H16" i="8"/>
  <c r="K16" i="8" s="1"/>
  <c r="F16" i="8"/>
  <c r="AM15" i="8"/>
  <c r="AK15" i="8"/>
  <c r="AJ15" i="8"/>
  <c r="AH15" i="8"/>
  <c r="AG15" i="8"/>
  <c r="AE15" i="8"/>
  <c r="AD15" i="8"/>
  <c r="AB15" i="8"/>
  <c r="AA15" i="8"/>
  <c r="Y15" i="8"/>
  <c r="X15" i="8"/>
  <c r="V15" i="8"/>
  <c r="U15" i="8"/>
  <c r="S15" i="8"/>
  <c r="R15" i="8"/>
  <c r="P15" i="8"/>
  <c r="M15" i="8"/>
  <c r="K15" i="8"/>
  <c r="J15" i="8"/>
  <c r="I15" i="8"/>
  <c r="H15" i="8"/>
  <c r="G15" i="8"/>
  <c r="F15" i="8"/>
  <c r="E15" i="8"/>
  <c r="AN15" i="8" s="1"/>
  <c r="AP15" i="8" s="1"/>
  <c r="AN14" i="8"/>
  <c r="O14" i="8"/>
  <c r="L14" i="8"/>
  <c r="I14" i="8"/>
  <c r="F14" i="8"/>
  <c r="AO14" i="8" s="1"/>
  <c r="AN13" i="8"/>
  <c r="O13" i="8"/>
  <c r="L13" i="8"/>
  <c r="AO13" i="8" s="1"/>
  <c r="K13" i="8"/>
  <c r="I13" i="8"/>
  <c r="H13" i="8"/>
  <c r="F13" i="8"/>
  <c r="AN12" i="8"/>
  <c r="O12" i="8"/>
  <c r="L12" i="8"/>
  <c r="I12" i="8"/>
  <c r="I8" i="8" s="1"/>
  <c r="H12" i="8"/>
  <c r="K12" i="8" s="1"/>
  <c r="N12" i="8" s="1"/>
  <c r="Q12" i="8" s="1"/>
  <c r="T12" i="8" s="1"/>
  <c r="W12" i="8" s="1"/>
  <c r="Z12" i="8" s="1"/>
  <c r="AC12" i="8" s="1"/>
  <c r="AF12" i="8" s="1"/>
  <c r="AI12" i="8" s="1"/>
  <c r="AL12" i="8" s="1"/>
  <c r="F12" i="8"/>
  <c r="AO12" i="8" s="1"/>
  <c r="AP12" i="8" s="1"/>
  <c r="AN11" i="8"/>
  <c r="AP11" i="8" s="1"/>
  <c r="O11" i="8"/>
  <c r="L11" i="8"/>
  <c r="I11" i="8"/>
  <c r="H11" i="8"/>
  <c r="K11" i="8" s="1"/>
  <c r="N11" i="8" s="1"/>
  <c r="Q11" i="8" s="1"/>
  <c r="T11" i="8" s="1"/>
  <c r="W11" i="8" s="1"/>
  <c r="Z11" i="8" s="1"/>
  <c r="AC11" i="8" s="1"/>
  <c r="AF11" i="8" s="1"/>
  <c r="AI11" i="8" s="1"/>
  <c r="AL11" i="8" s="1"/>
  <c r="F11" i="8"/>
  <c r="AO11" i="8" s="1"/>
  <c r="AN10" i="8"/>
  <c r="O10" i="8"/>
  <c r="L10" i="8"/>
  <c r="N10" i="8" s="1"/>
  <c r="Q10" i="8" s="1"/>
  <c r="T10" i="8" s="1"/>
  <c r="W10" i="8" s="1"/>
  <c r="Z10" i="8" s="1"/>
  <c r="AC10" i="8" s="1"/>
  <c r="AF10" i="8" s="1"/>
  <c r="AI10" i="8" s="1"/>
  <c r="AL10" i="8" s="1"/>
  <c r="K10" i="8"/>
  <c r="I10" i="8"/>
  <c r="F10" i="8"/>
  <c r="H10" i="8" s="1"/>
  <c r="AN9" i="8"/>
  <c r="O9" i="8"/>
  <c r="L9" i="8"/>
  <c r="I9" i="8"/>
  <c r="F9" i="8"/>
  <c r="F8" i="8" s="1"/>
  <c r="AM8" i="8"/>
  <c r="AK8" i="8"/>
  <c r="AJ8" i="8"/>
  <c r="AH8" i="8"/>
  <c r="AG8" i="8"/>
  <c r="AE8" i="8"/>
  <c r="AD8" i="8"/>
  <c r="AB8" i="8"/>
  <c r="AA8" i="8"/>
  <c r="Y8" i="8"/>
  <c r="X8" i="8"/>
  <c r="V8" i="8"/>
  <c r="U8" i="8"/>
  <c r="S8" i="8"/>
  <c r="R8" i="8"/>
  <c r="P8" i="8"/>
  <c r="O8" i="8"/>
  <c r="M8" i="8"/>
  <c r="J8" i="8"/>
  <c r="G8" i="8"/>
  <c r="E8" i="8"/>
  <c r="AN8" i="8" s="1"/>
  <c r="AN7" i="8"/>
  <c r="O7" i="8"/>
  <c r="L7" i="8"/>
  <c r="I7" i="8"/>
  <c r="H7" i="8"/>
  <c r="AN6" i="8"/>
  <c r="O6" i="8"/>
  <c r="L6" i="8"/>
  <c r="I6" i="8"/>
  <c r="I4" i="8" s="1"/>
  <c r="AO5" i="8"/>
  <c r="AP5" i="8" s="1"/>
  <c r="AN5" i="8"/>
  <c r="O5" i="8"/>
  <c r="O4" i="8" s="1"/>
  <c r="L5" i="8"/>
  <c r="L4" i="8" s="1"/>
  <c r="I5" i="8"/>
  <c r="H5" i="8"/>
  <c r="K5" i="8" s="1"/>
  <c r="AM4" i="8"/>
  <c r="AK4" i="8"/>
  <c r="AK99" i="8" s="1"/>
  <c r="AJ4" i="8"/>
  <c r="AJ99" i="8" s="1"/>
  <c r="AJ101" i="8" s="1"/>
  <c r="AH4" i="8"/>
  <c r="AG4" i="8"/>
  <c r="AE4" i="8"/>
  <c r="AD4" i="8"/>
  <c r="AB4" i="8"/>
  <c r="AA4" i="8"/>
  <c r="AA99" i="8" s="1"/>
  <c r="AA101" i="8" s="1"/>
  <c r="Y4" i="8"/>
  <c r="X4" i="8"/>
  <c r="V4" i="8"/>
  <c r="V99" i="8" s="1"/>
  <c r="U4" i="8"/>
  <c r="S4" i="8"/>
  <c r="R4" i="8"/>
  <c r="P4" i="8"/>
  <c r="M4" i="8"/>
  <c r="J4" i="8"/>
  <c r="G4" i="8"/>
  <c r="F4" i="8"/>
  <c r="E4" i="8"/>
  <c r="AL3" i="8"/>
  <c r="AM3" i="8" s="1"/>
  <c r="AI3" i="8"/>
  <c r="AJ3" i="8" s="1"/>
  <c r="AF3" i="8"/>
  <c r="AG3" i="8" s="1"/>
  <c r="AC3" i="8"/>
  <c r="AD3" i="8" s="1"/>
  <c r="Z3" i="8"/>
  <c r="AA3" i="8" s="1"/>
  <c r="W3" i="8"/>
  <c r="X3" i="8" s="1"/>
  <c r="T3" i="8"/>
  <c r="U3" i="8" s="1"/>
  <c r="Q3" i="8"/>
  <c r="R3" i="8" s="1"/>
  <c r="O3" i="8"/>
  <c r="N3" i="8"/>
  <c r="K3" i="8"/>
  <c r="L3" i="8" s="1"/>
  <c r="O77" i="1"/>
  <c r="O78" i="1"/>
  <c r="O79" i="1"/>
  <c r="O80" i="1"/>
  <c r="O81" i="1"/>
  <c r="J28" i="4"/>
  <c r="J63" i="4"/>
  <c r="J94" i="4"/>
  <c r="J59" i="4"/>
  <c r="J96" i="4"/>
  <c r="J97" i="4"/>
  <c r="K8" i="11" l="1"/>
  <c r="K93" i="11"/>
  <c r="G99" i="11"/>
  <c r="K86" i="11"/>
  <c r="K15" i="11"/>
  <c r="K34" i="11"/>
  <c r="K91" i="11"/>
  <c r="H99" i="11"/>
  <c r="K41" i="11"/>
  <c r="K42" i="11"/>
  <c r="F88" i="11"/>
  <c r="F99" i="11" s="1"/>
  <c r="E99" i="11"/>
  <c r="K37" i="11"/>
  <c r="K52" i="11"/>
  <c r="K41" i="10"/>
  <c r="K86" i="10"/>
  <c r="K17" i="10"/>
  <c r="H91" i="10"/>
  <c r="H99" i="10"/>
  <c r="K88" i="10"/>
  <c r="K43" i="10"/>
  <c r="G99" i="10"/>
  <c r="K34" i="10"/>
  <c r="K27" i="10"/>
  <c r="K8" i="10"/>
  <c r="I99" i="10"/>
  <c r="K4" i="10"/>
  <c r="K50" i="10"/>
  <c r="K91" i="10"/>
  <c r="E99" i="10"/>
  <c r="K52" i="10"/>
  <c r="F55" i="10"/>
  <c r="K4" i="9"/>
  <c r="K88" i="9"/>
  <c r="K34" i="9"/>
  <c r="G99" i="9"/>
  <c r="K68" i="9"/>
  <c r="K50" i="9"/>
  <c r="F99" i="9"/>
  <c r="K27" i="9"/>
  <c r="I99" i="9"/>
  <c r="K8" i="9"/>
  <c r="H91" i="9"/>
  <c r="H99" i="9" s="1"/>
  <c r="K7" i="8"/>
  <c r="N7" i="8" s="1"/>
  <c r="Q7" i="8" s="1"/>
  <c r="T7" i="8" s="1"/>
  <c r="W7" i="8" s="1"/>
  <c r="Z7" i="8" s="1"/>
  <c r="AC7" i="8" s="1"/>
  <c r="AF7" i="8" s="1"/>
  <c r="AI7" i="8" s="1"/>
  <c r="AL7" i="8" s="1"/>
  <c r="K18" i="8"/>
  <c r="AP47" i="8"/>
  <c r="AP20" i="8"/>
  <c r="AO8" i="8"/>
  <c r="AP8" i="8" s="1"/>
  <c r="N5" i="8"/>
  <c r="AP6" i="8"/>
  <c r="AP52" i="8"/>
  <c r="AP25" i="8"/>
  <c r="AP14" i="8"/>
  <c r="F34" i="8"/>
  <c r="AO34" i="8" s="1"/>
  <c r="N13" i="8"/>
  <c r="Q13" i="8" s="1"/>
  <c r="T13" i="8" s="1"/>
  <c r="W13" i="8" s="1"/>
  <c r="Z13" i="8" s="1"/>
  <c r="AC13" i="8" s="1"/>
  <c r="AF13" i="8" s="1"/>
  <c r="AI13" i="8" s="1"/>
  <c r="AL13" i="8" s="1"/>
  <c r="P99" i="8"/>
  <c r="AO16" i="8"/>
  <c r="AP16" i="8" s="1"/>
  <c r="AO22" i="8"/>
  <c r="AP22" i="8" s="1"/>
  <c r="AN34" i="8"/>
  <c r="F43" i="8"/>
  <c r="AO44" i="8"/>
  <c r="AP44" i="8" s="1"/>
  <c r="N74" i="8"/>
  <c r="Q74" i="8" s="1"/>
  <c r="T74" i="8" s="1"/>
  <c r="W74" i="8" s="1"/>
  <c r="Z74" i="8" s="1"/>
  <c r="AC74" i="8" s="1"/>
  <c r="AF74" i="8" s="1"/>
  <c r="AI74" i="8" s="1"/>
  <c r="AL74" i="8" s="1"/>
  <c r="AN86" i="8"/>
  <c r="AP86" i="8" s="1"/>
  <c r="G99" i="8"/>
  <c r="AB99" i="8"/>
  <c r="AO10" i="8"/>
  <c r="AP10" i="8" s="1"/>
  <c r="S99" i="8"/>
  <c r="Q16" i="8"/>
  <c r="F17" i="8"/>
  <c r="AO17" i="8" s="1"/>
  <c r="AP17" i="8" s="1"/>
  <c r="H19" i="8"/>
  <c r="K19" i="8" s="1"/>
  <c r="N19" i="8" s="1"/>
  <c r="Q19" i="8" s="1"/>
  <c r="T19" i="8" s="1"/>
  <c r="W19" i="8" s="1"/>
  <c r="Z19" i="8" s="1"/>
  <c r="AC19" i="8" s="1"/>
  <c r="AF19" i="8" s="1"/>
  <c r="AI19" i="8" s="1"/>
  <c r="AL19" i="8" s="1"/>
  <c r="H23" i="8"/>
  <c r="K23" i="8" s="1"/>
  <c r="N23" i="8" s="1"/>
  <c r="Q23" i="8" s="1"/>
  <c r="T23" i="8" s="1"/>
  <c r="W23" i="8" s="1"/>
  <c r="Z23" i="8" s="1"/>
  <c r="AC23" i="8" s="1"/>
  <c r="AF23" i="8" s="1"/>
  <c r="AI23" i="8" s="1"/>
  <c r="AL23" i="8" s="1"/>
  <c r="F27" i="8"/>
  <c r="AO27" i="8" s="1"/>
  <c r="H28" i="8"/>
  <c r="AN43" i="8"/>
  <c r="L50" i="8"/>
  <c r="AP62" i="8"/>
  <c r="AM99" i="8"/>
  <c r="AM101" i="8" s="1"/>
  <c r="AD99" i="8"/>
  <c r="AD101" i="8" s="1"/>
  <c r="AN4" i="8"/>
  <c r="H6" i="8"/>
  <c r="AO7" i="8"/>
  <c r="AP7" i="8" s="1"/>
  <c r="H14" i="8"/>
  <c r="K14" i="8" s="1"/>
  <c r="N14" i="8" s="1"/>
  <c r="Q14" i="8" s="1"/>
  <c r="T14" i="8" s="1"/>
  <c r="W14" i="8" s="1"/>
  <c r="Z14" i="8" s="1"/>
  <c r="AC14" i="8" s="1"/>
  <c r="AF14" i="8" s="1"/>
  <c r="AI14" i="8" s="1"/>
  <c r="AL14" i="8" s="1"/>
  <c r="I27" i="8"/>
  <c r="H31" i="8"/>
  <c r="K31" i="8" s="1"/>
  <c r="N31" i="8" s="1"/>
  <c r="Q31" i="8" s="1"/>
  <c r="T31" i="8" s="1"/>
  <c r="W31" i="8" s="1"/>
  <c r="Z31" i="8" s="1"/>
  <c r="AC31" i="8" s="1"/>
  <c r="AF31" i="8" s="1"/>
  <c r="AI31" i="8" s="1"/>
  <c r="AL31" i="8" s="1"/>
  <c r="K44" i="8"/>
  <c r="R99" i="8"/>
  <c r="R101" i="8" s="1"/>
  <c r="H36" i="8"/>
  <c r="K36" i="8" s="1"/>
  <c r="N36" i="8" s="1"/>
  <c r="Q36" i="8" s="1"/>
  <c r="T36" i="8" s="1"/>
  <c r="W36" i="8" s="1"/>
  <c r="Z36" i="8" s="1"/>
  <c r="AC36" i="8" s="1"/>
  <c r="AF36" i="8" s="1"/>
  <c r="AI36" i="8" s="1"/>
  <c r="AL36" i="8" s="1"/>
  <c r="AP42" i="8"/>
  <c r="J99" i="8"/>
  <c r="AE99" i="8"/>
  <c r="L8" i="8"/>
  <c r="AP28" i="8"/>
  <c r="AP31" i="8"/>
  <c r="O43" i="8"/>
  <c r="AP48" i="8"/>
  <c r="AO58" i="8"/>
  <c r="F55" i="8"/>
  <c r="AO78" i="8"/>
  <c r="AP78" i="8" s="1"/>
  <c r="H78" i="8"/>
  <c r="K78" i="8" s="1"/>
  <c r="N78" i="8" s="1"/>
  <c r="Q78" i="8" s="1"/>
  <c r="T78" i="8" s="1"/>
  <c r="W78" i="8" s="1"/>
  <c r="Z78" i="8" s="1"/>
  <c r="AC78" i="8" s="1"/>
  <c r="AF78" i="8" s="1"/>
  <c r="AI78" i="8" s="1"/>
  <c r="AL78" i="8" s="1"/>
  <c r="H9" i="8"/>
  <c r="AN27" i="8"/>
  <c r="U99" i="8"/>
  <c r="U101" i="8" s="1"/>
  <c r="AO4" i="8"/>
  <c r="V101" i="8"/>
  <c r="V105" i="8" s="1"/>
  <c r="V104" i="8"/>
  <c r="K25" i="8"/>
  <c r="N25" i="8" s="1"/>
  <c r="Q25" i="8" s="1"/>
  <c r="T25" i="8" s="1"/>
  <c r="W25" i="8" s="1"/>
  <c r="Z25" i="8" s="1"/>
  <c r="AC25" i="8" s="1"/>
  <c r="AF25" i="8" s="1"/>
  <c r="AI25" i="8" s="1"/>
  <c r="AL25" i="8" s="1"/>
  <c r="N37" i="8"/>
  <c r="Q37" i="8" s="1"/>
  <c r="T37" i="8" s="1"/>
  <c r="W37" i="8" s="1"/>
  <c r="Z37" i="8" s="1"/>
  <c r="AC37" i="8" s="1"/>
  <c r="AF37" i="8" s="1"/>
  <c r="AI37" i="8" s="1"/>
  <c r="AL37" i="8" s="1"/>
  <c r="H40" i="8"/>
  <c r="AO41" i="8"/>
  <c r="AP41" i="8" s="1"/>
  <c r="AP51" i="8"/>
  <c r="L55" i="8"/>
  <c r="H58" i="8"/>
  <c r="AO73" i="8"/>
  <c r="AP73" i="8" s="1"/>
  <c r="I68" i="8"/>
  <c r="AP13" i="8"/>
  <c r="W42" i="8"/>
  <c r="T41" i="8"/>
  <c r="AO9" i="8"/>
  <c r="AP9" i="8" s="1"/>
  <c r="AG99" i="8"/>
  <c r="AG101" i="8" s="1"/>
  <c r="AO38" i="8"/>
  <c r="AP38" i="8" s="1"/>
  <c r="L41" i="8"/>
  <c r="AO42" i="8"/>
  <c r="AO49" i="8"/>
  <c r="AP49" i="8" s="1"/>
  <c r="AO50" i="8"/>
  <c r="N56" i="8"/>
  <c r="AN63" i="8"/>
  <c r="AP63" i="8" s="1"/>
  <c r="M55" i="8"/>
  <c r="AK104" i="8"/>
  <c r="AK101" i="8"/>
  <c r="AK105" i="8" s="1"/>
  <c r="AH99" i="8"/>
  <c r="AO24" i="8"/>
  <c r="AP24" i="8" s="1"/>
  <c r="O55" i="8"/>
  <c r="O99" i="8" s="1"/>
  <c r="O101" i="8" s="1"/>
  <c r="AO82" i="8"/>
  <c r="AP82" i="8" s="1"/>
  <c r="H82" i="8"/>
  <c r="K82" i="8" s="1"/>
  <c r="N82" i="8" s="1"/>
  <c r="Q82" i="8" s="1"/>
  <c r="T82" i="8" s="1"/>
  <c r="W82" i="8" s="1"/>
  <c r="Z82" i="8" s="1"/>
  <c r="AC82" i="8" s="1"/>
  <c r="AF82" i="8" s="1"/>
  <c r="AI82" i="8" s="1"/>
  <c r="AL82" i="8" s="1"/>
  <c r="K94" i="8"/>
  <c r="N94" i="8" s="1"/>
  <c r="Q94" i="8" s="1"/>
  <c r="T94" i="8" s="1"/>
  <c r="W94" i="8" s="1"/>
  <c r="Z94" i="8" s="1"/>
  <c r="AC94" i="8" s="1"/>
  <c r="AF94" i="8" s="1"/>
  <c r="AI94" i="8" s="1"/>
  <c r="AL94" i="8" s="1"/>
  <c r="AO35" i="8"/>
  <c r="H35" i="8"/>
  <c r="AP21" i="8"/>
  <c r="M99" i="8"/>
  <c r="AO20" i="8"/>
  <c r="Y99" i="8"/>
  <c r="H20" i="8"/>
  <c r="K20" i="8" s="1"/>
  <c r="N20" i="8" s="1"/>
  <c r="Q20" i="8" s="1"/>
  <c r="T20" i="8" s="1"/>
  <c r="W20" i="8" s="1"/>
  <c r="Z20" i="8" s="1"/>
  <c r="AC20" i="8" s="1"/>
  <c r="AF20" i="8" s="1"/>
  <c r="AI20" i="8" s="1"/>
  <c r="AL20" i="8" s="1"/>
  <c r="H24" i="8"/>
  <c r="K24" i="8" s="1"/>
  <c r="N24" i="8" s="1"/>
  <c r="Q24" i="8" s="1"/>
  <c r="T24" i="8" s="1"/>
  <c r="W24" i="8" s="1"/>
  <c r="Z24" i="8" s="1"/>
  <c r="AC24" i="8" s="1"/>
  <c r="AF24" i="8" s="1"/>
  <c r="AI24" i="8" s="1"/>
  <c r="AL24" i="8" s="1"/>
  <c r="K26" i="8"/>
  <c r="N26" i="8" s="1"/>
  <c r="Q26" i="8" s="1"/>
  <c r="T26" i="8" s="1"/>
  <c r="W26" i="8" s="1"/>
  <c r="Z26" i="8" s="1"/>
  <c r="AC26" i="8" s="1"/>
  <c r="AF26" i="8" s="1"/>
  <c r="AI26" i="8" s="1"/>
  <c r="AL26" i="8" s="1"/>
  <c r="AO33" i="8"/>
  <c r="H33" i="8"/>
  <c r="K33" i="8" s="1"/>
  <c r="N33" i="8" s="1"/>
  <c r="Q33" i="8" s="1"/>
  <c r="T33" i="8" s="1"/>
  <c r="W33" i="8" s="1"/>
  <c r="Z33" i="8" s="1"/>
  <c r="AC33" i="8" s="1"/>
  <c r="AF33" i="8" s="1"/>
  <c r="AI33" i="8" s="1"/>
  <c r="AL33" i="8" s="1"/>
  <c r="AP33" i="8"/>
  <c r="AP35" i="8"/>
  <c r="AN39" i="8"/>
  <c r="AP39" i="8" s="1"/>
  <c r="AO45" i="8"/>
  <c r="AP45" i="8" s="1"/>
  <c r="H45" i="8"/>
  <c r="K45" i="8" s="1"/>
  <c r="N45" i="8" s="1"/>
  <c r="Q45" i="8" s="1"/>
  <c r="T45" i="8" s="1"/>
  <c r="W45" i="8" s="1"/>
  <c r="Z45" i="8" s="1"/>
  <c r="AC45" i="8" s="1"/>
  <c r="AF45" i="8" s="1"/>
  <c r="AI45" i="8" s="1"/>
  <c r="AL45" i="8" s="1"/>
  <c r="I55" i="8"/>
  <c r="N57" i="8"/>
  <c r="Q57" i="8" s="1"/>
  <c r="T57" i="8" s="1"/>
  <c r="W57" i="8" s="1"/>
  <c r="Z57" i="8" s="1"/>
  <c r="AC57" i="8" s="1"/>
  <c r="AF57" i="8" s="1"/>
  <c r="AI57" i="8" s="1"/>
  <c r="AL57" i="8" s="1"/>
  <c r="AP72" i="8"/>
  <c r="Q83" i="8"/>
  <c r="T83" i="8" s="1"/>
  <c r="W83" i="8" s="1"/>
  <c r="Z83" i="8" s="1"/>
  <c r="AC83" i="8" s="1"/>
  <c r="AF83" i="8" s="1"/>
  <c r="AI83" i="8" s="1"/>
  <c r="AL83" i="8" s="1"/>
  <c r="AO67" i="8"/>
  <c r="AP67" i="8" s="1"/>
  <c r="H67" i="8"/>
  <c r="K67" i="8" s="1"/>
  <c r="N67" i="8" s="1"/>
  <c r="Q67" i="8" s="1"/>
  <c r="T67" i="8" s="1"/>
  <c r="W67" i="8" s="1"/>
  <c r="Z67" i="8" s="1"/>
  <c r="AC67" i="8" s="1"/>
  <c r="AF67" i="8" s="1"/>
  <c r="AI67" i="8" s="1"/>
  <c r="AL67" i="8" s="1"/>
  <c r="AP74" i="8"/>
  <c r="H49" i="8"/>
  <c r="K49" i="8" s="1"/>
  <c r="N49" i="8" s="1"/>
  <c r="Q49" i="8" s="1"/>
  <c r="T49" i="8" s="1"/>
  <c r="W49" i="8" s="1"/>
  <c r="Z49" i="8" s="1"/>
  <c r="AC49" i="8" s="1"/>
  <c r="AF49" i="8" s="1"/>
  <c r="AI49" i="8" s="1"/>
  <c r="AL49" i="8" s="1"/>
  <c r="H54" i="8"/>
  <c r="K54" i="8" s="1"/>
  <c r="N54" i="8" s="1"/>
  <c r="Q54" i="8" s="1"/>
  <c r="T54" i="8" s="1"/>
  <c r="W54" i="8" s="1"/>
  <c r="Z54" i="8" s="1"/>
  <c r="AC54" i="8" s="1"/>
  <c r="AF54" i="8" s="1"/>
  <c r="AI54" i="8" s="1"/>
  <c r="AL54" i="8" s="1"/>
  <c r="H61" i="8"/>
  <c r="K61" i="8" s="1"/>
  <c r="N61" i="8" s="1"/>
  <c r="Q61" i="8" s="1"/>
  <c r="T61" i="8" s="1"/>
  <c r="W61" i="8" s="1"/>
  <c r="Z61" i="8" s="1"/>
  <c r="AC61" i="8" s="1"/>
  <c r="AF61" i="8" s="1"/>
  <c r="AI61" i="8" s="1"/>
  <c r="AL61" i="8" s="1"/>
  <c r="H70" i="8"/>
  <c r="L68" i="8"/>
  <c r="L99" i="8" s="1"/>
  <c r="L101" i="8" s="1"/>
  <c r="H84" i="8"/>
  <c r="K84" i="8" s="1"/>
  <c r="N84" i="8" s="1"/>
  <c r="Q84" i="8" s="1"/>
  <c r="T84" i="8" s="1"/>
  <c r="W84" i="8" s="1"/>
  <c r="Z84" i="8" s="1"/>
  <c r="AC84" i="8" s="1"/>
  <c r="AF84" i="8" s="1"/>
  <c r="AI84" i="8" s="1"/>
  <c r="AL84" i="8" s="1"/>
  <c r="AP46" i="8"/>
  <c r="AO51" i="8"/>
  <c r="AO56" i="8"/>
  <c r="AP56" i="8" s="1"/>
  <c r="AO62" i="8"/>
  <c r="N63" i="8"/>
  <c r="Q63" i="8" s="1"/>
  <c r="T63" i="8" s="1"/>
  <c r="W63" i="8" s="1"/>
  <c r="Z63" i="8" s="1"/>
  <c r="AC63" i="8" s="1"/>
  <c r="AF63" i="8" s="1"/>
  <c r="AI63" i="8" s="1"/>
  <c r="AL63" i="8" s="1"/>
  <c r="AO75" i="8"/>
  <c r="AP75" i="8" s="1"/>
  <c r="H75" i="8"/>
  <c r="K75" i="8" s="1"/>
  <c r="N75" i="8" s="1"/>
  <c r="Q75" i="8" s="1"/>
  <c r="T75" i="8" s="1"/>
  <c r="W75" i="8" s="1"/>
  <c r="Z75" i="8" s="1"/>
  <c r="AC75" i="8" s="1"/>
  <c r="AF75" i="8" s="1"/>
  <c r="AI75" i="8" s="1"/>
  <c r="AL75" i="8" s="1"/>
  <c r="K76" i="8"/>
  <c r="N76" i="8" s="1"/>
  <c r="Q76" i="8" s="1"/>
  <c r="T76" i="8" s="1"/>
  <c r="W76" i="8" s="1"/>
  <c r="Z76" i="8" s="1"/>
  <c r="AC76" i="8" s="1"/>
  <c r="AF76" i="8" s="1"/>
  <c r="AI76" i="8" s="1"/>
  <c r="AL76" i="8" s="1"/>
  <c r="H80" i="8"/>
  <c r="K80" i="8" s="1"/>
  <c r="N80" i="8" s="1"/>
  <c r="Q80" i="8" s="1"/>
  <c r="T80" i="8" s="1"/>
  <c r="W80" i="8" s="1"/>
  <c r="Z80" i="8" s="1"/>
  <c r="AC80" i="8" s="1"/>
  <c r="AF80" i="8" s="1"/>
  <c r="AI80" i="8" s="1"/>
  <c r="AL80" i="8" s="1"/>
  <c r="AO80" i="8"/>
  <c r="AP80" i="8" s="1"/>
  <c r="H98" i="8"/>
  <c r="K98" i="8" s="1"/>
  <c r="N98" i="8" s="1"/>
  <c r="Q98" i="8" s="1"/>
  <c r="T98" i="8" s="1"/>
  <c r="W98" i="8" s="1"/>
  <c r="Z98" i="8" s="1"/>
  <c r="AC98" i="8" s="1"/>
  <c r="AF98" i="8" s="1"/>
  <c r="AI98" i="8" s="1"/>
  <c r="AL98" i="8" s="1"/>
  <c r="X99" i="8"/>
  <c r="X101" i="8" s="1"/>
  <c r="AP30" i="8"/>
  <c r="AN50" i="8"/>
  <c r="H51" i="8"/>
  <c r="AN55" i="8"/>
  <c r="K62" i="8"/>
  <c r="N62" i="8" s="1"/>
  <c r="Q62" i="8" s="1"/>
  <c r="T62" i="8" s="1"/>
  <c r="W62" i="8" s="1"/>
  <c r="Z62" i="8" s="1"/>
  <c r="AC62" i="8" s="1"/>
  <c r="AF62" i="8" s="1"/>
  <c r="AI62" i="8" s="1"/>
  <c r="AL62" i="8" s="1"/>
  <c r="N69" i="8"/>
  <c r="F68" i="8"/>
  <c r="AO68" i="8" s="1"/>
  <c r="AO69" i="8"/>
  <c r="AP69" i="8" s="1"/>
  <c r="AO77" i="8"/>
  <c r="AP77" i="8" s="1"/>
  <c r="AP79" i="8"/>
  <c r="AO83" i="8"/>
  <c r="AP83" i="8" s="1"/>
  <c r="F91" i="8"/>
  <c r="AP84" i="8"/>
  <c r="H92" i="8"/>
  <c r="AO92" i="8"/>
  <c r="AP92" i="8" s="1"/>
  <c r="AO95" i="8"/>
  <c r="AP95" i="8" s="1"/>
  <c r="H64" i="8"/>
  <c r="K64" i="8" s="1"/>
  <c r="N64" i="8" s="1"/>
  <c r="Q64" i="8" s="1"/>
  <c r="T64" i="8" s="1"/>
  <c r="W64" i="8" s="1"/>
  <c r="Z64" i="8" s="1"/>
  <c r="AC64" i="8" s="1"/>
  <c r="AF64" i="8" s="1"/>
  <c r="AI64" i="8" s="1"/>
  <c r="AL64" i="8" s="1"/>
  <c r="H72" i="8"/>
  <c r="K72" i="8" s="1"/>
  <c r="N72" i="8" s="1"/>
  <c r="Q72" i="8" s="1"/>
  <c r="T72" i="8" s="1"/>
  <c r="W72" i="8" s="1"/>
  <c r="Z72" i="8" s="1"/>
  <c r="AC72" i="8" s="1"/>
  <c r="AF72" i="8" s="1"/>
  <c r="AI72" i="8" s="1"/>
  <c r="AL72" i="8" s="1"/>
  <c r="K87" i="8"/>
  <c r="H86" i="8"/>
  <c r="G107" i="8"/>
  <c r="AO89" i="8"/>
  <c r="O91" i="8"/>
  <c r="H93" i="8"/>
  <c r="K93" i="8" s="1"/>
  <c r="N93" i="8" s="1"/>
  <c r="Q93" i="8" s="1"/>
  <c r="T93" i="8" s="1"/>
  <c r="W93" i="8" s="1"/>
  <c r="Z93" i="8" s="1"/>
  <c r="AC93" i="8" s="1"/>
  <c r="AF93" i="8" s="1"/>
  <c r="AI93" i="8" s="1"/>
  <c r="AL93" i="8" s="1"/>
  <c r="AP58" i="8"/>
  <c r="AP64" i="8"/>
  <c r="AN88" i="8"/>
  <c r="H89" i="8"/>
  <c r="H97" i="8"/>
  <c r="K97" i="8" s="1"/>
  <c r="N97" i="8" s="1"/>
  <c r="Q97" i="8" s="1"/>
  <c r="T97" i="8" s="1"/>
  <c r="W97" i="8" s="1"/>
  <c r="Z97" i="8" s="1"/>
  <c r="AC97" i="8" s="1"/>
  <c r="AF97" i="8" s="1"/>
  <c r="AI97" i="8" s="1"/>
  <c r="AL97" i="8" s="1"/>
  <c r="E91" i="8"/>
  <c r="AN91" i="8" s="1"/>
  <c r="AN97" i="8"/>
  <c r="AP97" i="8" s="1"/>
  <c r="AN68" i="8"/>
  <c r="AO81" i="8"/>
  <c r="AP81" i="8" s="1"/>
  <c r="AO85" i="8"/>
  <c r="AP85" i="8" s="1"/>
  <c r="I88" i="8"/>
  <c r="AO88" i="8" s="1"/>
  <c r="AP89" i="8"/>
  <c r="AO94" i="8"/>
  <c r="AP94" i="8" s="1"/>
  <c r="K99" i="11" l="1"/>
  <c r="K88" i="11"/>
  <c r="K55" i="10"/>
  <c r="F99" i="10"/>
  <c r="K99" i="10" s="1"/>
  <c r="K99" i="9"/>
  <c r="K91" i="9"/>
  <c r="J104" i="8"/>
  <c r="J101" i="8"/>
  <c r="J105" i="8" s="1"/>
  <c r="K89" i="8"/>
  <c r="H88" i="8"/>
  <c r="M101" i="8"/>
  <c r="M105" i="8" s="1"/>
  <c r="M104" i="8"/>
  <c r="H8" i="8"/>
  <c r="K9" i="8"/>
  <c r="AE104" i="8"/>
  <c r="AE101" i="8"/>
  <c r="AE105" i="8" s="1"/>
  <c r="F99" i="8"/>
  <c r="F101" i="8" s="1"/>
  <c r="K70" i="8"/>
  <c r="H68" i="8"/>
  <c r="AO55" i="8"/>
  <c r="AO99" i="8" s="1"/>
  <c r="AN99" i="8"/>
  <c r="AN101" i="8" s="1"/>
  <c r="AP4" i="8"/>
  <c r="I99" i="8"/>
  <c r="I101" i="8" s="1"/>
  <c r="K92" i="8"/>
  <c r="H91" i="8"/>
  <c r="Z42" i="8"/>
  <c r="W41" i="8"/>
  <c r="T16" i="8"/>
  <c r="Q15" i="8"/>
  <c r="AO43" i="8"/>
  <c r="K35" i="8"/>
  <c r="H34" i="8"/>
  <c r="AP55" i="8"/>
  <c r="Q56" i="8"/>
  <c r="N44" i="8"/>
  <c r="K43" i="8"/>
  <c r="S101" i="8"/>
  <c r="S105" i="8" s="1"/>
  <c r="S104" i="8"/>
  <c r="AP34" i="8"/>
  <c r="AO91" i="8"/>
  <c r="AP91" i="8" s="1"/>
  <c r="H50" i="8"/>
  <c r="K51" i="8"/>
  <c r="H43" i="8"/>
  <c r="G110" i="8"/>
  <c r="J107" i="8"/>
  <c r="AP50" i="8"/>
  <c r="AB104" i="8"/>
  <c r="AB101" i="8"/>
  <c r="AB105" i="8" s="1"/>
  <c r="Y101" i="8"/>
  <c r="Y105" i="8" s="1"/>
  <c r="Y104" i="8"/>
  <c r="K58" i="8"/>
  <c r="H55" i="8"/>
  <c r="AP43" i="8"/>
  <c r="P104" i="8"/>
  <c r="P101" i="8"/>
  <c r="P105" i="8" s="1"/>
  <c r="Q5" i="8"/>
  <c r="H17" i="8"/>
  <c r="AP88" i="8"/>
  <c r="Q69" i="8"/>
  <c r="H39" i="8"/>
  <c r="K40" i="8"/>
  <c r="K6" i="8"/>
  <c r="H4" i="8"/>
  <c r="AP68" i="8"/>
  <c r="N87" i="8"/>
  <c r="K86" i="8"/>
  <c r="AH101" i="8"/>
  <c r="AH105" i="8" s="1"/>
  <c r="AH104" i="8"/>
  <c r="AP27" i="8"/>
  <c r="K28" i="8"/>
  <c r="H27" i="8"/>
  <c r="G104" i="8"/>
  <c r="G101" i="8"/>
  <c r="G105" i="8" s="1"/>
  <c r="E99" i="8"/>
  <c r="K17" i="8"/>
  <c r="N18" i="8"/>
  <c r="K7" i="3"/>
  <c r="K6" i="3"/>
  <c r="K5" i="3"/>
  <c r="F5" i="1"/>
  <c r="N92" i="8" l="1"/>
  <c r="K91" i="8"/>
  <c r="Q18" i="8"/>
  <c r="N17" i="8"/>
  <c r="K88" i="8"/>
  <c r="N89" i="8"/>
  <c r="J110" i="8"/>
  <c r="M107" i="8"/>
  <c r="Q44" i="8"/>
  <c r="N43" i="8"/>
  <c r="K27" i="8"/>
  <c r="N28" i="8"/>
  <c r="N58" i="8"/>
  <c r="K55" i="8"/>
  <c r="T56" i="8"/>
  <c r="N9" i="8"/>
  <c r="K8" i="8"/>
  <c r="T69" i="8"/>
  <c r="K50" i="8"/>
  <c r="N51" i="8"/>
  <c r="N86" i="8"/>
  <c r="Q87" i="8"/>
  <c r="W16" i="8"/>
  <c r="T15" i="8"/>
  <c r="N70" i="8"/>
  <c r="K68" i="8"/>
  <c r="N40" i="8"/>
  <c r="K39" i="8"/>
  <c r="AC42" i="8"/>
  <c r="Z41" i="8"/>
  <c r="AP99" i="8"/>
  <c r="K34" i="8"/>
  <c r="N35" i="8"/>
  <c r="T5" i="8"/>
  <c r="E104" i="8"/>
  <c r="E101" i="8"/>
  <c r="H99" i="8"/>
  <c r="H101" i="8" s="1"/>
  <c r="N6" i="8"/>
  <c r="K4" i="8"/>
  <c r="I52" i="6"/>
  <c r="I97" i="6"/>
  <c r="H92" i="6"/>
  <c r="H93" i="6"/>
  <c r="H52" i="6"/>
  <c r="H97" i="6"/>
  <c r="F97" i="6"/>
  <c r="F37" i="6"/>
  <c r="J97" i="5"/>
  <c r="J94" i="5"/>
  <c r="J93" i="5"/>
  <c r="J38" i="5"/>
  <c r="I94" i="5"/>
  <c r="I92" i="5"/>
  <c r="I52" i="5"/>
  <c r="J92" i="5"/>
  <c r="I82" i="5"/>
  <c r="I76" i="5"/>
  <c r="I97" i="5"/>
  <c r="I67" i="5"/>
  <c r="I70" i="5"/>
  <c r="H97" i="5"/>
  <c r="H79" i="5"/>
  <c r="H83" i="5"/>
  <c r="H67" i="5"/>
  <c r="H92" i="5"/>
  <c r="G92" i="5"/>
  <c r="G97" i="5"/>
  <c r="G14" i="5"/>
  <c r="G59" i="5"/>
  <c r="G52" i="5"/>
  <c r="G31" i="5"/>
  <c r="G76" i="5"/>
  <c r="G93" i="5"/>
  <c r="G67" i="5"/>
  <c r="H74" i="4"/>
  <c r="I74" i="4"/>
  <c r="I63" i="4"/>
  <c r="J93" i="4"/>
  <c r="I93" i="4"/>
  <c r="I56" i="4"/>
  <c r="I92" i="4"/>
  <c r="I67" i="4"/>
  <c r="I10" i="4"/>
  <c r="I51" i="4"/>
  <c r="I53" i="4"/>
  <c r="I59" i="4"/>
  <c r="I75" i="4"/>
  <c r="I78" i="4"/>
  <c r="I64" i="4"/>
  <c r="I97" i="4"/>
  <c r="I76" i="4"/>
  <c r="J59" i="3"/>
  <c r="H97" i="4"/>
  <c r="G97" i="4"/>
  <c r="H66" i="4"/>
  <c r="G67" i="4"/>
  <c r="G65" i="4"/>
  <c r="G64" i="4"/>
  <c r="G56" i="4"/>
  <c r="G66" i="4"/>
  <c r="G76" i="4"/>
  <c r="G75" i="4"/>
  <c r="G51" i="4"/>
  <c r="G90" i="4"/>
  <c r="J76" i="3"/>
  <c r="H90" i="3"/>
  <c r="G101" i="1"/>
  <c r="J101" i="1"/>
  <c r="M101" i="1"/>
  <c r="P101" i="1"/>
  <c r="S101" i="1"/>
  <c r="U101" i="1"/>
  <c r="V101" i="1"/>
  <c r="X101" i="1"/>
  <c r="Y101" i="1"/>
  <c r="AA101" i="1"/>
  <c r="AB101" i="1"/>
  <c r="AD101" i="1"/>
  <c r="AE101" i="1"/>
  <c r="AG101" i="1"/>
  <c r="AH101" i="1"/>
  <c r="AJ101" i="1"/>
  <c r="AK101" i="1"/>
  <c r="AM101" i="1"/>
  <c r="AN101" i="1"/>
  <c r="Q40" i="8" l="1"/>
  <c r="N39" i="8"/>
  <c r="P107" i="8"/>
  <c r="M110" i="8"/>
  <c r="Q9" i="8"/>
  <c r="N8" i="8"/>
  <c r="W56" i="8"/>
  <c r="Q58" i="8"/>
  <c r="N55" i="8"/>
  <c r="Q17" i="8"/>
  <c r="T18" i="8"/>
  <c r="E105" i="8"/>
  <c r="E108" i="8"/>
  <c r="Q70" i="8"/>
  <c r="N68" i="8"/>
  <c r="Q35" i="8"/>
  <c r="N34" i="8"/>
  <c r="K99" i="8"/>
  <c r="K101" i="8" s="1"/>
  <c r="Q51" i="8"/>
  <c r="N50" i="8"/>
  <c r="Q28" i="8"/>
  <c r="N27" i="8"/>
  <c r="W69" i="8"/>
  <c r="Q43" i="8"/>
  <c r="T44" i="8"/>
  <c r="W5" i="8"/>
  <c r="Q89" i="8"/>
  <c r="N88" i="8"/>
  <c r="Z16" i="8"/>
  <c r="W15" i="8"/>
  <c r="Q86" i="8"/>
  <c r="T87" i="8"/>
  <c r="Q6" i="8"/>
  <c r="N4" i="8"/>
  <c r="AF42" i="8"/>
  <c r="AC41" i="8"/>
  <c r="N91" i="8"/>
  <c r="Q92" i="8"/>
  <c r="O98" i="1"/>
  <c r="O96" i="1"/>
  <c r="O95" i="1"/>
  <c r="O90" i="1"/>
  <c r="O89" i="1"/>
  <c r="O87" i="1"/>
  <c r="O85" i="1"/>
  <c r="O84" i="1"/>
  <c r="O83" i="1"/>
  <c r="O82" i="1"/>
  <c r="O75" i="1"/>
  <c r="O73" i="1"/>
  <c r="O72" i="1"/>
  <c r="O71" i="1"/>
  <c r="O70" i="1"/>
  <c r="O69" i="1"/>
  <c r="O67" i="1"/>
  <c r="O66" i="1"/>
  <c r="O65" i="1"/>
  <c r="O64" i="1"/>
  <c r="O63" i="1"/>
  <c r="O62" i="1"/>
  <c r="O61" i="1"/>
  <c r="O60" i="1"/>
  <c r="O59" i="1"/>
  <c r="O58" i="1"/>
  <c r="O57" i="1"/>
  <c r="O56" i="1"/>
  <c r="O54" i="1"/>
  <c r="O53" i="1"/>
  <c r="O49" i="1"/>
  <c r="O48" i="1"/>
  <c r="O47" i="1"/>
  <c r="O46" i="1"/>
  <c r="O45" i="1"/>
  <c r="O44" i="1"/>
  <c r="O40" i="1"/>
  <c r="O37" i="1"/>
  <c r="O36" i="1"/>
  <c r="O35" i="1"/>
  <c r="O33" i="1"/>
  <c r="O32" i="1"/>
  <c r="O31" i="1"/>
  <c r="O30" i="1"/>
  <c r="O29" i="1"/>
  <c r="O28" i="1"/>
  <c r="O26" i="1"/>
  <c r="O25" i="1"/>
  <c r="O24" i="1"/>
  <c r="O23" i="1"/>
  <c r="O22" i="1"/>
  <c r="O21" i="1"/>
  <c r="O20" i="1"/>
  <c r="O19" i="1"/>
  <c r="O18" i="1"/>
  <c r="O16" i="1"/>
  <c r="O9" i="1"/>
  <c r="O6" i="1"/>
  <c r="O7" i="1"/>
  <c r="K94" i="6"/>
  <c r="O94" i="1" s="1"/>
  <c r="H91" i="6"/>
  <c r="G91" i="6"/>
  <c r="J91" i="6"/>
  <c r="I91" i="6"/>
  <c r="F91" i="6"/>
  <c r="E91" i="6"/>
  <c r="J88" i="6"/>
  <c r="I88" i="6"/>
  <c r="H88" i="6"/>
  <c r="G88" i="6"/>
  <c r="F88" i="6"/>
  <c r="E88" i="6"/>
  <c r="K88" i="6" s="1"/>
  <c r="J86" i="6"/>
  <c r="I86" i="6"/>
  <c r="H86" i="6"/>
  <c r="G86" i="6"/>
  <c r="F86" i="6"/>
  <c r="E86" i="6"/>
  <c r="K86" i="6" s="1"/>
  <c r="J68" i="6"/>
  <c r="I68" i="6"/>
  <c r="H68" i="6"/>
  <c r="G68" i="6"/>
  <c r="K68" i="6" s="1"/>
  <c r="F68" i="6"/>
  <c r="E68" i="6"/>
  <c r="J55" i="6"/>
  <c r="I55" i="6"/>
  <c r="H55" i="6"/>
  <c r="K55" i="6" s="1"/>
  <c r="G55" i="6"/>
  <c r="F55" i="6"/>
  <c r="E55" i="6"/>
  <c r="K54" i="6"/>
  <c r="H50" i="6"/>
  <c r="J50" i="6"/>
  <c r="I50" i="6"/>
  <c r="G50" i="6"/>
  <c r="F50" i="6"/>
  <c r="E50" i="6"/>
  <c r="J43" i="6"/>
  <c r="I43" i="6"/>
  <c r="H43" i="6"/>
  <c r="G43" i="6"/>
  <c r="K43" i="6" s="1"/>
  <c r="F43" i="6"/>
  <c r="E43" i="6"/>
  <c r="J41" i="6"/>
  <c r="I41" i="6"/>
  <c r="H41" i="6"/>
  <c r="G41" i="6"/>
  <c r="K41" i="6" s="1"/>
  <c r="F41" i="6"/>
  <c r="E41" i="6"/>
  <c r="J39" i="6"/>
  <c r="K39" i="6" s="1"/>
  <c r="I39" i="6"/>
  <c r="H39" i="6"/>
  <c r="G39" i="6"/>
  <c r="F39" i="6"/>
  <c r="E39" i="6"/>
  <c r="K38" i="6"/>
  <c r="O38" i="1" s="1"/>
  <c r="J34" i="6"/>
  <c r="I34" i="6"/>
  <c r="H34" i="6"/>
  <c r="G34" i="6"/>
  <c r="F34" i="6"/>
  <c r="E34" i="6"/>
  <c r="J27" i="6"/>
  <c r="I27" i="6"/>
  <c r="H27" i="6"/>
  <c r="G27" i="6"/>
  <c r="F27" i="6"/>
  <c r="E27" i="6"/>
  <c r="J17" i="6"/>
  <c r="I17" i="6"/>
  <c r="H17" i="6"/>
  <c r="G17" i="6"/>
  <c r="F17" i="6"/>
  <c r="E17" i="6"/>
  <c r="J15" i="6"/>
  <c r="I15" i="6"/>
  <c r="H15" i="6"/>
  <c r="G15" i="6"/>
  <c r="K15" i="6" s="1"/>
  <c r="F15" i="6"/>
  <c r="E15" i="6"/>
  <c r="K13" i="6"/>
  <c r="O13" i="1" s="1"/>
  <c r="J8" i="6"/>
  <c r="I8" i="6"/>
  <c r="H8" i="6"/>
  <c r="G8" i="6"/>
  <c r="F8" i="6"/>
  <c r="E8" i="6"/>
  <c r="J4" i="6"/>
  <c r="I4" i="6"/>
  <c r="H4" i="6"/>
  <c r="G4" i="6"/>
  <c r="F4" i="6"/>
  <c r="E4" i="6"/>
  <c r="K4" i="6" s="1"/>
  <c r="K98" i="6"/>
  <c r="K97" i="6"/>
  <c r="O97" i="1" s="1"/>
  <c r="K96" i="6"/>
  <c r="K95" i="6"/>
  <c r="K90" i="6"/>
  <c r="K89" i="6"/>
  <c r="K87" i="6"/>
  <c r="K85" i="6"/>
  <c r="K84" i="6"/>
  <c r="K83" i="6"/>
  <c r="K82" i="6"/>
  <c r="K81" i="6"/>
  <c r="K80" i="6"/>
  <c r="K79" i="6"/>
  <c r="K78" i="6"/>
  <c r="K77" i="6"/>
  <c r="K76" i="6"/>
  <c r="O76" i="1" s="1"/>
  <c r="K75" i="6"/>
  <c r="K74" i="6"/>
  <c r="O74" i="1" s="1"/>
  <c r="K73" i="6"/>
  <c r="K72" i="6"/>
  <c r="K71" i="6"/>
  <c r="K70" i="6"/>
  <c r="K69" i="6"/>
  <c r="K67" i="6"/>
  <c r="K66" i="6"/>
  <c r="K65" i="6"/>
  <c r="K64" i="6"/>
  <c r="K63" i="6"/>
  <c r="K62" i="6"/>
  <c r="K61" i="6"/>
  <c r="K60" i="6"/>
  <c r="K59" i="6"/>
  <c r="K58" i="6"/>
  <c r="K57" i="6"/>
  <c r="K56" i="6"/>
  <c r="K53" i="6"/>
  <c r="K52" i="6"/>
  <c r="O52" i="1" s="1"/>
  <c r="K49" i="6"/>
  <c r="K48" i="6"/>
  <c r="K47" i="6"/>
  <c r="K46" i="6"/>
  <c r="K45" i="6"/>
  <c r="K44" i="6"/>
  <c r="K42" i="6"/>
  <c r="O42" i="1" s="1"/>
  <c r="K40" i="6"/>
  <c r="K37" i="6"/>
  <c r="K35" i="6"/>
  <c r="K33" i="6"/>
  <c r="K30" i="6"/>
  <c r="K29" i="6"/>
  <c r="K28" i="6"/>
  <c r="K26" i="6"/>
  <c r="K25" i="6"/>
  <c r="K24" i="6"/>
  <c r="K23" i="6"/>
  <c r="K22" i="6"/>
  <c r="K21" i="6"/>
  <c r="K20" i="6"/>
  <c r="K19" i="6"/>
  <c r="K18" i="6"/>
  <c r="K17" i="6"/>
  <c r="K16" i="6"/>
  <c r="K14" i="6"/>
  <c r="O14" i="1" s="1"/>
  <c r="K12" i="6"/>
  <c r="O12" i="1" s="1"/>
  <c r="K11" i="6"/>
  <c r="O11" i="1" s="1"/>
  <c r="K10" i="6"/>
  <c r="O10" i="1" s="1"/>
  <c r="K9" i="6"/>
  <c r="K7" i="6"/>
  <c r="K6" i="6"/>
  <c r="K5" i="6"/>
  <c r="O5" i="1" s="1"/>
  <c r="K93" i="5"/>
  <c r="L93" i="1" s="1"/>
  <c r="H91" i="5"/>
  <c r="G91" i="5"/>
  <c r="J91" i="5"/>
  <c r="I91" i="5"/>
  <c r="F91" i="5"/>
  <c r="E91" i="5"/>
  <c r="G88" i="5"/>
  <c r="K88" i="5" s="1"/>
  <c r="J88" i="5"/>
  <c r="I88" i="5"/>
  <c r="H88" i="5"/>
  <c r="F88" i="5"/>
  <c r="E88" i="5"/>
  <c r="J86" i="5"/>
  <c r="I86" i="5"/>
  <c r="H86" i="5"/>
  <c r="G86" i="5"/>
  <c r="F86" i="5"/>
  <c r="E86" i="5"/>
  <c r="J68" i="5"/>
  <c r="I68" i="5"/>
  <c r="H68" i="5"/>
  <c r="G68" i="5"/>
  <c r="F68" i="5"/>
  <c r="E68" i="5"/>
  <c r="J55" i="5"/>
  <c r="I55" i="5"/>
  <c r="H55" i="5"/>
  <c r="G55" i="5"/>
  <c r="F55" i="5"/>
  <c r="E55" i="5"/>
  <c r="J50" i="5"/>
  <c r="I50" i="5"/>
  <c r="H50" i="5"/>
  <c r="G50" i="5"/>
  <c r="F50" i="5"/>
  <c r="E50" i="5"/>
  <c r="J43" i="5"/>
  <c r="I43" i="5"/>
  <c r="H43" i="5"/>
  <c r="G43" i="5"/>
  <c r="F43" i="5"/>
  <c r="E43" i="5"/>
  <c r="J41" i="5"/>
  <c r="I41" i="5"/>
  <c r="H41" i="5"/>
  <c r="G41" i="5"/>
  <c r="F41" i="5"/>
  <c r="E41" i="5"/>
  <c r="J39" i="5"/>
  <c r="I39" i="5"/>
  <c r="H39" i="5"/>
  <c r="G39" i="5"/>
  <c r="F39" i="5"/>
  <c r="E39" i="5"/>
  <c r="K36" i="5"/>
  <c r="L36" i="1" s="1"/>
  <c r="I34" i="5"/>
  <c r="H34" i="5"/>
  <c r="G34" i="5"/>
  <c r="F34" i="5"/>
  <c r="E34" i="5"/>
  <c r="J27" i="5"/>
  <c r="I27" i="5"/>
  <c r="H27" i="5"/>
  <c r="G27" i="5"/>
  <c r="K27" i="5" s="1"/>
  <c r="F27" i="5"/>
  <c r="E27" i="5"/>
  <c r="J17" i="5"/>
  <c r="I17" i="5"/>
  <c r="H17" i="5"/>
  <c r="G17" i="5"/>
  <c r="F17" i="5"/>
  <c r="E17" i="5"/>
  <c r="K17" i="5" s="1"/>
  <c r="K16" i="5"/>
  <c r="L16" i="1" s="1"/>
  <c r="I15" i="5"/>
  <c r="H15" i="5"/>
  <c r="G15" i="5"/>
  <c r="F15" i="5"/>
  <c r="E15" i="5"/>
  <c r="J8" i="5"/>
  <c r="I8" i="5"/>
  <c r="H8" i="5"/>
  <c r="G8" i="5"/>
  <c r="F8" i="5"/>
  <c r="E8" i="5"/>
  <c r="J4" i="5"/>
  <c r="I4" i="5"/>
  <c r="H4" i="5"/>
  <c r="G4" i="5"/>
  <c r="K4" i="5" s="1"/>
  <c r="F4" i="5"/>
  <c r="E4" i="5"/>
  <c r="L79" i="1"/>
  <c r="L64" i="1"/>
  <c r="L63" i="1"/>
  <c r="L56" i="1"/>
  <c r="L37" i="1"/>
  <c r="L6" i="1"/>
  <c r="L5" i="1"/>
  <c r="K98" i="5"/>
  <c r="L98" i="1" s="1"/>
  <c r="K97" i="5"/>
  <c r="L97" i="1" s="1"/>
  <c r="K96" i="5"/>
  <c r="L96" i="1" s="1"/>
  <c r="K95" i="5"/>
  <c r="L95" i="1" s="1"/>
  <c r="K94" i="5"/>
  <c r="L94" i="1" s="1"/>
  <c r="K92" i="5"/>
  <c r="L92" i="1" s="1"/>
  <c r="K90" i="5"/>
  <c r="L90" i="1" s="1"/>
  <c r="K89" i="5"/>
  <c r="L89" i="1" s="1"/>
  <c r="K87" i="5"/>
  <c r="L87" i="1" s="1"/>
  <c r="K85" i="5"/>
  <c r="L85" i="1" s="1"/>
  <c r="K84" i="5"/>
  <c r="L84" i="1" s="1"/>
  <c r="K83" i="5"/>
  <c r="L83" i="1" s="1"/>
  <c r="K82" i="5"/>
  <c r="L82" i="1" s="1"/>
  <c r="K81" i="5"/>
  <c r="L81" i="1" s="1"/>
  <c r="K80" i="5"/>
  <c r="L80" i="1" s="1"/>
  <c r="K79" i="5"/>
  <c r="K78" i="5"/>
  <c r="L78" i="1" s="1"/>
  <c r="K77" i="5"/>
  <c r="L77" i="1" s="1"/>
  <c r="K76" i="5"/>
  <c r="L76" i="1" s="1"/>
  <c r="K75" i="5"/>
  <c r="L75" i="1" s="1"/>
  <c r="K74" i="5"/>
  <c r="L74" i="1" s="1"/>
  <c r="K73" i="5"/>
  <c r="L73" i="1" s="1"/>
  <c r="K72" i="5"/>
  <c r="L72" i="1" s="1"/>
  <c r="K71" i="5"/>
  <c r="L71" i="1" s="1"/>
  <c r="K70" i="5"/>
  <c r="L70" i="1" s="1"/>
  <c r="K69" i="5"/>
  <c r="L69" i="1" s="1"/>
  <c r="K67" i="5"/>
  <c r="L67" i="1" s="1"/>
  <c r="K66" i="5"/>
  <c r="L66" i="1" s="1"/>
  <c r="K65" i="5"/>
  <c r="L65" i="1" s="1"/>
  <c r="K64" i="5"/>
  <c r="K63" i="5"/>
  <c r="K62" i="5"/>
  <c r="L62" i="1" s="1"/>
  <c r="K61" i="5"/>
  <c r="L61" i="1" s="1"/>
  <c r="K60" i="5"/>
  <c r="L60" i="1" s="1"/>
  <c r="K59" i="5"/>
  <c r="L59" i="1" s="1"/>
  <c r="K58" i="5"/>
  <c r="L58" i="1" s="1"/>
  <c r="K57" i="5"/>
  <c r="L57" i="1" s="1"/>
  <c r="K56" i="5"/>
  <c r="K54" i="5"/>
  <c r="L54" i="1" s="1"/>
  <c r="K53" i="5"/>
  <c r="L53" i="1" s="1"/>
  <c r="K52" i="5"/>
  <c r="L52" i="1" s="1"/>
  <c r="K51" i="5"/>
  <c r="L51" i="1" s="1"/>
  <c r="K49" i="5"/>
  <c r="L49" i="1" s="1"/>
  <c r="K48" i="5"/>
  <c r="L48" i="1" s="1"/>
  <c r="K47" i="5"/>
  <c r="L47" i="1" s="1"/>
  <c r="K46" i="5"/>
  <c r="L46" i="1" s="1"/>
  <c r="K45" i="5"/>
  <c r="L45" i="1" s="1"/>
  <c r="K44" i="5"/>
  <c r="L44" i="1" s="1"/>
  <c r="K42" i="5"/>
  <c r="L42" i="1" s="1"/>
  <c r="K41" i="5"/>
  <c r="K40" i="5"/>
  <c r="L40" i="1" s="1"/>
  <c r="K39" i="5"/>
  <c r="K38" i="5"/>
  <c r="L38" i="1" s="1"/>
  <c r="K37" i="5"/>
  <c r="K35" i="5"/>
  <c r="L35" i="1" s="1"/>
  <c r="K33" i="5"/>
  <c r="L33" i="1" s="1"/>
  <c r="K32" i="5"/>
  <c r="L32" i="1" s="1"/>
  <c r="K31" i="5"/>
  <c r="L31" i="1" s="1"/>
  <c r="K30" i="5"/>
  <c r="L30" i="1" s="1"/>
  <c r="K29" i="5"/>
  <c r="L29" i="1" s="1"/>
  <c r="K28" i="5"/>
  <c r="L28" i="1" s="1"/>
  <c r="K26" i="5"/>
  <c r="L26" i="1" s="1"/>
  <c r="K25" i="5"/>
  <c r="L25" i="1" s="1"/>
  <c r="K24" i="5"/>
  <c r="L24" i="1" s="1"/>
  <c r="K23" i="5"/>
  <c r="L23" i="1" s="1"/>
  <c r="K22" i="5"/>
  <c r="L22" i="1" s="1"/>
  <c r="K21" i="5"/>
  <c r="L21" i="1" s="1"/>
  <c r="K20" i="5"/>
  <c r="L20" i="1" s="1"/>
  <c r="K19" i="5"/>
  <c r="L19" i="1" s="1"/>
  <c r="K18" i="5"/>
  <c r="L18" i="1" s="1"/>
  <c r="K14" i="5"/>
  <c r="L14" i="1" s="1"/>
  <c r="K13" i="5"/>
  <c r="L13" i="1" s="1"/>
  <c r="K12" i="5"/>
  <c r="L12" i="1" s="1"/>
  <c r="K11" i="5"/>
  <c r="L11" i="1" s="1"/>
  <c r="K10" i="5"/>
  <c r="L10" i="1" s="1"/>
  <c r="K9" i="5"/>
  <c r="L9" i="1" s="1"/>
  <c r="K7" i="5"/>
  <c r="L7" i="1" s="1"/>
  <c r="K6" i="5"/>
  <c r="K5" i="5"/>
  <c r="J91" i="4"/>
  <c r="J88" i="4"/>
  <c r="J86" i="4"/>
  <c r="J68" i="4"/>
  <c r="J55" i="4"/>
  <c r="J50" i="4"/>
  <c r="J43" i="4"/>
  <c r="J41" i="4"/>
  <c r="J39" i="4"/>
  <c r="J34" i="4"/>
  <c r="J27" i="4"/>
  <c r="J17" i="4"/>
  <c r="J15" i="4"/>
  <c r="J8" i="4"/>
  <c r="J4" i="4"/>
  <c r="T89" i="8" l="1"/>
  <c r="Q88" i="8"/>
  <c r="T51" i="8"/>
  <c r="Q50" i="8"/>
  <c r="T58" i="8"/>
  <c r="Q55" i="8"/>
  <c r="W44" i="8"/>
  <c r="T43" i="8"/>
  <c r="T70" i="8"/>
  <c r="Q68" i="8"/>
  <c r="S107" i="8"/>
  <c r="P110" i="8"/>
  <c r="AF41" i="8"/>
  <c r="AI42" i="8"/>
  <c r="N99" i="8"/>
  <c r="N101" i="8" s="1"/>
  <c r="T35" i="8"/>
  <c r="Q34" i="8"/>
  <c r="T86" i="8"/>
  <c r="W87" i="8"/>
  <c r="T9" i="8"/>
  <c r="Q8" i="8"/>
  <c r="Z15" i="8"/>
  <c r="AC16" i="8"/>
  <c r="Q27" i="8"/>
  <c r="T28" i="8"/>
  <c r="W18" i="8"/>
  <c r="T17" i="8"/>
  <c r="Z5" i="8"/>
  <c r="Z56" i="8"/>
  <c r="T6" i="8"/>
  <c r="Q4" i="8"/>
  <c r="Z69" i="8"/>
  <c r="E111" i="8"/>
  <c r="G108" i="8"/>
  <c r="E109" i="8"/>
  <c r="Q91" i="8"/>
  <c r="T92" i="8"/>
  <c r="T40" i="8"/>
  <c r="Q39" i="8"/>
  <c r="K27" i="6"/>
  <c r="F99" i="6"/>
  <c r="K8" i="6"/>
  <c r="I99" i="6"/>
  <c r="J99" i="6"/>
  <c r="G99" i="6"/>
  <c r="K68" i="5"/>
  <c r="K55" i="5"/>
  <c r="K43" i="5"/>
  <c r="I99" i="5"/>
  <c r="F99" i="5"/>
  <c r="K50" i="5"/>
  <c r="H99" i="5"/>
  <c r="K8" i="5"/>
  <c r="H99" i="6"/>
  <c r="K50" i="6"/>
  <c r="K51" i="6"/>
  <c r="O51" i="1" s="1"/>
  <c r="O50" i="1" s="1"/>
  <c r="K92" i="6"/>
  <c r="O92" i="1" s="1"/>
  <c r="K91" i="6"/>
  <c r="K34" i="6"/>
  <c r="K36" i="6"/>
  <c r="E99" i="6"/>
  <c r="K93" i="6"/>
  <c r="O93" i="1" s="1"/>
  <c r="J34" i="5"/>
  <c r="J15" i="5"/>
  <c r="K15" i="5" s="1"/>
  <c r="E99" i="5"/>
  <c r="K86" i="5"/>
  <c r="I87" i="1"/>
  <c r="I86" i="1" s="1"/>
  <c r="I81" i="1"/>
  <c r="I77" i="1"/>
  <c r="I71" i="1"/>
  <c r="I60" i="1"/>
  <c r="I57" i="1"/>
  <c r="I48" i="1"/>
  <c r="I47" i="1"/>
  <c r="I46" i="1"/>
  <c r="I42" i="1"/>
  <c r="I41" i="1" s="1"/>
  <c r="I36" i="1"/>
  <c r="I35" i="1"/>
  <c r="I23" i="1"/>
  <c r="I21" i="1"/>
  <c r="I18" i="1"/>
  <c r="I16" i="1"/>
  <c r="I15" i="1" s="1"/>
  <c r="I11" i="1"/>
  <c r="I7" i="1"/>
  <c r="I6" i="1"/>
  <c r="I5" i="1"/>
  <c r="K98" i="4"/>
  <c r="I98" i="1" s="1"/>
  <c r="K97" i="4"/>
  <c r="I97" i="1" s="1"/>
  <c r="K96" i="4"/>
  <c r="I96" i="1" s="1"/>
  <c r="K95" i="4"/>
  <c r="I95" i="1" s="1"/>
  <c r="K94" i="4"/>
  <c r="I94" i="1" s="1"/>
  <c r="K93" i="4"/>
  <c r="I93" i="1" s="1"/>
  <c r="K92" i="4"/>
  <c r="I92" i="1" s="1"/>
  <c r="K90" i="4"/>
  <c r="I90" i="1" s="1"/>
  <c r="K89" i="4"/>
  <c r="I89" i="1" s="1"/>
  <c r="K87" i="4"/>
  <c r="K86" i="4"/>
  <c r="K85" i="4"/>
  <c r="I85" i="1" s="1"/>
  <c r="K84" i="4"/>
  <c r="I84" i="1" s="1"/>
  <c r="K83" i="4"/>
  <c r="I83" i="1" s="1"/>
  <c r="K82" i="4"/>
  <c r="I82" i="1" s="1"/>
  <c r="K81" i="4"/>
  <c r="K80" i="4"/>
  <c r="I80" i="1" s="1"/>
  <c r="K79" i="4"/>
  <c r="K78" i="4"/>
  <c r="I78" i="1" s="1"/>
  <c r="K77" i="4"/>
  <c r="K76" i="4"/>
  <c r="I76" i="1" s="1"/>
  <c r="K75" i="4"/>
  <c r="I75" i="1" s="1"/>
  <c r="K74" i="4"/>
  <c r="I74" i="1" s="1"/>
  <c r="K73" i="4"/>
  <c r="I73" i="1" s="1"/>
  <c r="K72" i="4"/>
  <c r="I72" i="1" s="1"/>
  <c r="K71" i="4"/>
  <c r="K70" i="4"/>
  <c r="I70" i="1" s="1"/>
  <c r="K69" i="4"/>
  <c r="I69" i="1" s="1"/>
  <c r="K67" i="4"/>
  <c r="I67" i="1" s="1"/>
  <c r="K66" i="4"/>
  <c r="I66" i="1" s="1"/>
  <c r="K65" i="4"/>
  <c r="I65" i="1" s="1"/>
  <c r="K64" i="4"/>
  <c r="I64" i="1" s="1"/>
  <c r="K63" i="4"/>
  <c r="I63" i="1" s="1"/>
  <c r="K62" i="4"/>
  <c r="I62" i="1" s="1"/>
  <c r="K61" i="4"/>
  <c r="I61" i="1" s="1"/>
  <c r="K60" i="4"/>
  <c r="K59" i="4"/>
  <c r="I59" i="1" s="1"/>
  <c r="K58" i="4"/>
  <c r="I58" i="1" s="1"/>
  <c r="K57" i="4"/>
  <c r="K56" i="4"/>
  <c r="I56" i="1" s="1"/>
  <c r="K54" i="4"/>
  <c r="I54" i="1" s="1"/>
  <c r="K53" i="4"/>
  <c r="I53" i="1" s="1"/>
  <c r="K52" i="4"/>
  <c r="I52" i="1" s="1"/>
  <c r="K51" i="4"/>
  <c r="I51" i="1" s="1"/>
  <c r="K49" i="4"/>
  <c r="I49" i="1" s="1"/>
  <c r="K48" i="4"/>
  <c r="K47" i="4"/>
  <c r="K46" i="4"/>
  <c r="K45" i="4"/>
  <c r="I45" i="1" s="1"/>
  <c r="K44" i="4"/>
  <c r="I44" i="1" s="1"/>
  <c r="K43" i="4"/>
  <c r="K42" i="4"/>
  <c r="K41" i="4"/>
  <c r="K40" i="4"/>
  <c r="I40" i="1" s="1"/>
  <c r="I39" i="1" s="1"/>
  <c r="K39" i="4"/>
  <c r="K38" i="4"/>
  <c r="I38" i="1" s="1"/>
  <c r="K37" i="4"/>
  <c r="I37" i="1" s="1"/>
  <c r="K36" i="4"/>
  <c r="K35" i="4"/>
  <c r="K34" i="4"/>
  <c r="K33" i="4"/>
  <c r="I33" i="1" s="1"/>
  <c r="K32" i="4"/>
  <c r="I32" i="1" s="1"/>
  <c r="K31" i="4"/>
  <c r="I31" i="1" s="1"/>
  <c r="K30" i="4"/>
  <c r="I30" i="1" s="1"/>
  <c r="K29" i="4"/>
  <c r="I29" i="1" s="1"/>
  <c r="K28" i="4"/>
  <c r="I28" i="1" s="1"/>
  <c r="K27" i="4"/>
  <c r="K26" i="4"/>
  <c r="I26" i="1" s="1"/>
  <c r="K25" i="4"/>
  <c r="I25" i="1" s="1"/>
  <c r="K24" i="4"/>
  <c r="I24" i="1" s="1"/>
  <c r="K23" i="4"/>
  <c r="K22" i="4"/>
  <c r="I22" i="1" s="1"/>
  <c r="K21" i="4"/>
  <c r="K20" i="4"/>
  <c r="I20" i="1" s="1"/>
  <c r="K19" i="4"/>
  <c r="I19" i="1" s="1"/>
  <c r="K18" i="4"/>
  <c r="K17" i="4"/>
  <c r="K16" i="4"/>
  <c r="K15" i="4"/>
  <c r="K14" i="4"/>
  <c r="I14" i="1" s="1"/>
  <c r="K13" i="4"/>
  <c r="I13" i="1" s="1"/>
  <c r="K12" i="4"/>
  <c r="I12" i="1" s="1"/>
  <c r="K11" i="4"/>
  <c r="K10" i="4"/>
  <c r="I10" i="1" s="1"/>
  <c r="K9" i="4"/>
  <c r="I9" i="1" s="1"/>
  <c r="K7" i="4"/>
  <c r="K6" i="4"/>
  <c r="K5" i="4"/>
  <c r="K4" i="4"/>
  <c r="F98" i="1"/>
  <c r="H98" i="1" s="1"/>
  <c r="F97" i="1"/>
  <c r="F96" i="1"/>
  <c r="H96" i="1" s="1"/>
  <c r="F95" i="1"/>
  <c r="H95" i="1" s="1"/>
  <c r="F94" i="1"/>
  <c r="H94" i="1" s="1"/>
  <c r="F93" i="1"/>
  <c r="H93" i="1" s="1"/>
  <c r="F89" i="1"/>
  <c r="F87" i="1"/>
  <c r="H87" i="1" s="1"/>
  <c r="F85" i="1"/>
  <c r="H85" i="1" s="1"/>
  <c r="F84" i="1"/>
  <c r="H84" i="1" s="1"/>
  <c r="F83" i="1"/>
  <c r="H83" i="1" s="1"/>
  <c r="F82" i="1"/>
  <c r="H82" i="1" s="1"/>
  <c r="F81" i="1"/>
  <c r="F80" i="1"/>
  <c r="H80" i="1" s="1"/>
  <c r="F79" i="1"/>
  <c r="H79" i="1" s="1"/>
  <c r="F75" i="1"/>
  <c r="H75" i="1" s="1"/>
  <c r="F74" i="1"/>
  <c r="H74" i="1" s="1"/>
  <c r="F73" i="1"/>
  <c r="H73" i="1" s="1"/>
  <c r="F72" i="1"/>
  <c r="H72" i="1" s="1"/>
  <c r="F71" i="1"/>
  <c r="H71" i="1" s="1"/>
  <c r="F69" i="1"/>
  <c r="H69" i="1" s="1"/>
  <c r="F67" i="1"/>
  <c r="H67" i="1" s="1"/>
  <c r="F66" i="1"/>
  <c r="F65" i="1"/>
  <c r="H65" i="1" s="1"/>
  <c r="F64" i="1"/>
  <c r="H64" i="1" s="1"/>
  <c r="F63" i="1"/>
  <c r="H63" i="1" s="1"/>
  <c r="F62" i="1"/>
  <c r="H62" i="1" s="1"/>
  <c r="F61" i="1"/>
  <c r="H61" i="1" s="1"/>
  <c r="F60" i="1"/>
  <c r="F58" i="1"/>
  <c r="H58" i="1" s="1"/>
  <c r="F57" i="1"/>
  <c r="F56" i="1"/>
  <c r="F54" i="1"/>
  <c r="H54" i="1" s="1"/>
  <c r="F53" i="1"/>
  <c r="F52" i="1"/>
  <c r="H52" i="1" s="1"/>
  <c r="F51" i="1"/>
  <c r="H51" i="1" s="1"/>
  <c r="F49" i="1"/>
  <c r="H49" i="1" s="1"/>
  <c r="F48" i="1"/>
  <c r="F47" i="1"/>
  <c r="F46" i="1"/>
  <c r="H46" i="1" s="1"/>
  <c r="F45" i="1"/>
  <c r="H45" i="1" s="1"/>
  <c r="F44" i="1"/>
  <c r="H44" i="1" s="1"/>
  <c r="F42" i="1"/>
  <c r="H42" i="1" s="1"/>
  <c r="F40" i="1"/>
  <c r="F39" i="1" s="1"/>
  <c r="F38" i="1"/>
  <c r="H38" i="1" s="1"/>
  <c r="F37" i="1"/>
  <c r="H37" i="1" s="1"/>
  <c r="F36" i="1"/>
  <c r="F35" i="1"/>
  <c r="H35" i="1" s="1"/>
  <c r="F33" i="1"/>
  <c r="H33" i="1" s="1"/>
  <c r="F32" i="1"/>
  <c r="H32" i="1" s="1"/>
  <c r="F31" i="1"/>
  <c r="H31" i="1" s="1"/>
  <c r="F30" i="1"/>
  <c r="H30" i="1" s="1"/>
  <c r="F29" i="1"/>
  <c r="H29" i="1" s="1"/>
  <c r="F28" i="1"/>
  <c r="H28" i="1" s="1"/>
  <c r="F26" i="1"/>
  <c r="H26" i="1" s="1"/>
  <c r="F25" i="1"/>
  <c r="H25" i="1" s="1"/>
  <c r="F24" i="1"/>
  <c r="H24" i="1" s="1"/>
  <c r="F23" i="1"/>
  <c r="H23" i="1" s="1"/>
  <c r="F22" i="1"/>
  <c r="H22" i="1" s="1"/>
  <c r="F21" i="1"/>
  <c r="H21" i="1" s="1"/>
  <c r="F20" i="1"/>
  <c r="H20" i="1" s="1"/>
  <c r="F19" i="1"/>
  <c r="F18" i="1"/>
  <c r="H18" i="1" s="1"/>
  <c r="F16" i="1"/>
  <c r="F15" i="1" s="1"/>
  <c r="F14" i="1"/>
  <c r="H14" i="1" s="1"/>
  <c r="F13" i="1"/>
  <c r="H13" i="1" s="1"/>
  <c r="F12" i="1"/>
  <c r="F11" i="1"/>
  <c r="F9" i="1"/>
  <c r="H9" i="1" s="1"/>
  <c r="F7" i="1"/>
  <c r="F6" i="1"/>
  <c r="H6" i="1" s="1"/>
  <c r="H5" i="1"/>
  <c r="K98" i="3"/>
  <c r="K97" i="3"/>
  <c r="K96" i="3"/>
  <c r="K95" i="3"/>
  <c r="K94" i="3"/>
  <c r="K93" i="3"/>
  <c r="K92" i="3"/>
  <c r="F92" i="1" s="1"/>
  <c r="K90" i="3"/>
  <c r="F90" i="1" s="1"/>
  <c r="H90" i="1" s="1"/>
  <c r="K89" i="3"/>
  <c r="K87" i="3"/>
  <c r="K86" i="3"/>
  <c r="K85" i="3"/>
  <c r="K84" i="3"/>
  <c r="K83" i="3"/>
  <c r="K82" i="3"/>
  <c r="K81" i="3"/>
  <c r="K80" i="3"/>
  <c r="K79" i="3"/>
  <c r="K78" i="3"/>
  <c r="F78" i="1" s="1"/>
  <c r="H78" i="1" s="1"/>
  <c r="K77" i="3"/>
  <c r="F77" i="1" s="1"/>
  <c r="H77" i="1" s="1"/>
  <c r="K76" i="3"/>
  <c r="F76" i="1" s="1"/>
  <c r="H76" i="1" s="1"/>
  <c r="K75" i="3"/>
  <c r="K74" i="3"/>
  <c r="K73" i="3"/>
  <c r="K72" i="3"/>
  <c r="K71" i="3"/>
  <c r="K70" i="3"/>
  <c r="F70" i="1" s="1"/>
  <c r="H70" i="1" s="1"/>
  <c r="K69" i="3"/>
  <c r="K67" i="3"/>
  <c r="K66" i="3"/>
  <c r="K65" i="3"/>
  <c r="K64" i="3"/>
  <c r="K63" i="3"/>
  <c r="K62" i="3"/>
  <c r="K61" i="3"/>
  <c r="K60" i="3"/>
  <c r="K59" i="3"/>
  <c r="F59" i="1" s="1"/>
  <c r="H59" i="1" s="1"/>
  <c r="K58" i="3"/>
  <c r="K57" i="3"/>
  <c r="K56"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F10" i="1" s="1"/>
  <c r="K9" i="3"/>
  <c r="AM91" i="1"/>
  <c r="AK91" i="1"/>
  <c r="AJ91" i="1"/>
  <c r="AH91" i="1"/>
  <c r="AG91" i="1"/>
  <c r="AE91" i="1"/>
  <c r="AD91" i="1"/>
  <c r="AB91" i="1"/>
  <c r="AA91" i="1"/>
  <c r="Y91" i="1"/>
  <c r="X91" i="1"/>
  <c r="V91" i="1"/>
  <c r="U91" i="1"/>
  <c r="S91" i="1"/>
  <c r="R91" i="1"/>
  <c r="P91" i="1"/>
  <c r="M91" i="1"/>
  <c r="L91" i="1"/>
  <c r="J91" i="1"/>
  <c r="G91" i="1"/>
  <c r="AM88" i="1"/>
  <c r="AK88" i="1"/>
  <c r="AJ88" i="1"/>
  <c r="AH88" i="1"/>
  <c r="AG88" i="1"/>
  <c r="AE88" i="1"/>
  <c r="AD88" i="1"/>
  <c r="AB88" i="1"/>
  <c r="AA88" i="1"/>
  <c r="Y88" i="1"/>
  <c r="X88" i="1"/>
  <c r="V88" i="1"/>
  <c r="U88" i="1"/>
  <c r="S88" i="1"/>
  <c r="R88" i="1"/>
  <c r="P88" i="1"/>
  <c r="O88" i="1"/>
  <c r="M88" i="1"/>
  <c r="L88" i="1"/>
  <c r="J88" i="1"/>
  <c r="G88" i="1"/>
  <c r="AM86" i="1"/>
  <c r="AK86" i="1"/>
  <c r="AJ86" i="1"/>
  <c r="AH86" i="1"/>
  <c r="AG86" i="1"/>
  <c r="AE86" i="1"/>
  <c r="AD86" i="1"/>
  <c r="AB86" i="1"/>
  <c r="AA86" i="1"/>
  <c r="Y86" i="1"/>
  <c r="X86" i="1"/>
  <c r="V86" i="1"/>
  <c r="U86" i="1"/>
  <c r="S86" i="1"/>
  <c r="R86" i="1"/>
  <c r="P86" i="1"/>
  <c r="O86" i="1"/>
  <c r="M86" i="1"/>
  <c r="L86" i="1"/>
  <c r="J86" i="1"/>
  <c r="G86" i="1"/>
  <c r="AM68" i="1"/>
  <c r="AK68" i="1"/>
  <c r="AJ68" i="1"/>
  <c r="AH68" i="1"/>
  <c r="AG68" i="1"/>
  <c r="AE68" i="1"/>
  <c r="AD68" i="1"/>
  <c r="AB68" i="1"/>
  <c r="AA68" i="1"/>
  <c r="Y68" i="1"/>
  <c r="X68" i="1"/>
  <c r="V68" i="1"/>
  <c r="U68" i="1"/>
  <c r="S68" i="1"/>
  <c r="R68" i="1"/>
  <c r="P68" i="1"/>
  <c r="O68" i="1"/>
  <c r="M68" i="1"/>
  <c r="L68" i="1"/>
  <c r="J68" i="1"/>
  <c r="G68" i="1"/>
  <c r="AM55" i="1"/>
  <c r="AK55" i="1"/>
  <c r="AJ55" i="1"/>
  <c r="AH55" i="1"/>
  <c r="AG55" i="1"/>
  <c r="AE55" i="1"/>
  <c r="AD55" i="1"/>
  <c r="AB55" i="1"/>
  <c r="AA55" i="1"/>
  <c r="Y55" i="1"/>
  <c r="X55" i="1"/>
  <c r="V55" i="1"/>
  <c r="U55" i="1"/>
  <c r="S55" i="1"/>
  <c r="R55" i="1"/>
  <c r="P55" i="1"/>
  <c r="O55" i="1"/>
  <c r="M55" i="1"/>
  <c r="L55" i="1"/>
  <c r="J55" i="1"/>
  <c r="G55" i="1"/>
  <c r="AM50" i="1"/>
  <c r="AK50" i="1"/>
  <c r="AJ50" i="1"/>
  <c r="AH50" i="1"/>
  <c r="AG50" i="1"/>
  <c r="AE50" i="1"/>
  <c r="AD50" i="1"/>
  <c r="AB50" i="1"/>
  <c r="AA50" i="1"/>
  <c r="Y50" i="1"/>
  <c r="X50" i="1"/>
  <c r="V50" i="1"/>
  <c r="U50" i="1"/>
  <c r="S50" i="1"/>
  <c r="R50" i="1"/>
  <c r="P50" i="1"/>
  <c r="M50" i="1"/>
  <c r="L50" i="1"/>
  <c r="J50" i="1"/>
  <c r="G50" i="1"/>
  <c r="AM43" i="1"/>
  <c r="AK43" i="1"/>
  <c r="AJ43" i="1"/>
  <c r="AH43" i="1"/>
  <c r="AG43" i="1"/>
  <c r="AE43" i="1"/>
  <c r="AD43" i="1"/>
  <c r="AB43" i="1"/>
  <c r="AA43" i="1"/>
  <c r="Y43" i="1"/>
  <c r="X43" i="1"/>
  <c r="V43" i="1"/>
  <c r="U43" i="1"/>
  <c r="S43" i="1"/>
  <c r="R43" i="1"/>
  <c r="P43" i="1"/>
  <c r="O43" i="1"/>
  <c r="M43" i="1"/>
  <c r="L43" i="1"/>
  <c r="J43" i="1"/>
  <c r="G43" i="1"/>
  <c r="AM41" i="1"/>
  <c r="AK41" i="1"/>
  <c r="AJ41" i="1"/>
  <c r="AH41" i="1"/>
  <c r="AG41" i="1"/>
  <c r="AE41" i="1"/>
  <c r="AD41" i="1"/>
  <c r="AB41" i="1"/>
  <c r="AA41" i="1"/>
  <c r="Y41" i="1"/>
  <c r="X41" i="1"/>
  <c r="V41" i="1"/>
  <c r="U41" i="1"/>
  <c r="S41" i="1"/>
  <c r="R41" i="1"/>
  <c r="P41" i="1"/>
  <c r="O41" i="1"/>
  <c r="M41" i="1"/>
  <c r="L41" i="1"/>
  <c r="J41" i="1"/>
  <c r="G41" i="1"/>
  <c r="AM39" i="1"/>
  <c r="AK39" i="1"/>
  <c r="AJ39" i="1"/>
  <c r="AH39" i="1"/>
  <c r="AG39" i="1"/>
  <c r="AE39" i="1"/>
  <c r="AD39" i="1"/>
  <c r="AB39" i="1"/>
  <c r="AA39" i="1"/>
  <c r="Y39" i="1"/>
  <c r="X39" i="1"/>
  <c r="V39" i="1"/>
  <c r="U39" i="1"/>
  <c r="S39" i="1"/>
  <c r="R39" i="1"/>
  <c r="P39" i="1"/>
  <c r="O39" i="1"/>
  <c r="M39" i="1"/>
  <c r="L39" i="1"/>
  <c r="J39" i="1"/>
  <c r="G39" i="1"/>
  <c r="AM34" i="1"/>
  <c r="AK34" i="1"/>
  <c r="AJ34" i="1"/>
  <c r="AH34" i="1"/>
  <c r="AG34" i="1"/>
  <c r="AE34" i="1"/>
  <c r="AD34" i="1"/>
  <c r="AB34" i="1"/>
  <c r="AA34" i="1"/>
  <c r="Y34" i="1"/>
  <c r="X34" i="1"/>
  <c r="V34" i="1"/>
  <c r="U34" i="1"/>
  <c r="S34" i="1"/>
  <c r="R34" i="1"/>
  <c r="P34" i="1"/>
  <c r="O34" i="1"/>
  <c r="M34" i="1"/>
  <c r="L34" i="1"/>
  <c r="J34" i="1"/>
  <c r="G34" i="1"/>
  <c r="AM27" i="1"/>
  <c r="AK27" i="1"/>
  <c r="AJ27" i="1"/>
  <c r="AH27" i="1"/>
  <c r="AG27" i="1"/>
  <c r="AE27" i="1"/>
  <c r="AD27" i="1"/>
  <c r="AB27" i="1"/>
  <c r="AA27" i="1"/>
  <c r="Y27" i="1"/>
  <c r="X27" i="1"/>
  <c r="V27" i="1"/>
  <c r="U27" i="1"/>
  <c r="S27" i="1"/>
  <c r="R27" i="1"/>
  <c r="P27" i="1"/>
  <c r="O27" i="1"/>
  <c r="M27" i="1"/>
  <c r="L27" i="1"/>
  <c r="J27" i="1"/>
  <c r="G27" i="1"/>
  <c r="AM17" i="1"/>
  <c r="AK17" i="1"/>
  <c r="AJ17" i="1"/>
  <c r="AH17" i="1"/>
  <c r="AG17" i="1"/>
  <c r="AE17" i="1"/>
  <c r="AD17" i="1"/>
  <c r="AB17" i="1"/>
  <c r="AA17" i="1"/>
  <c r="Y17" i="1"/>
  <c r="X17" i="1"/>
  <c r="V17" i="1"/>
  <c r="U17" i="1"/>
  <c r="S17" i="1"/>
  <c r="R17" i="1"/>
  <c r="P17" i="1"/>
  <c r="O17" i="1"/>
  <c r="M17" i="1"/>
  <c r="L17" i="1"/>
  <c r="J17" i="1"/>
  <c r="G17" i="1"/>
  <c r="AM15" i="1"/>
  <c r="AM99" i="1" s="1"/>
  <c r="AK15" i="1"/>
  <c r="AJ15" i="1"/>
  <c r="AH15" i="1"/>
  <c r="AG15" i="1"/>
  <c r="AE15" i="1"/>
  <c r="AD15" i="1"/>
  <c r="AB15" i="1"/>
  <c r="AA15" i="1"/>
  <c r="Y15" i="1"/>
  <c r="X15" i="1"/>
  <c r="V15" i="1"/>
  <c r="U15" i="1"/>
  <c r="S15" i="1"/>
  <c r="R15" i="1"/>
  <c r="P15" i="1"/>
  <c r="O15" i="1"/>
  <c r="M15" i="1"/>
  <c r="L15" i="1"/>
  <c r="J15" i="1"/>
  <c r="G15" i="1"/>
  <c r="AM8" i="1"/>
  <c r="AK8" i="1"/>
  <c r="AJ8" i="1"/>
  <c r="AH8" i="1"/>
  <c r="AG8" i="1"/>
  <c r="AE8" i="1"/>
  <c r="AD8" i="1"/>
  <c r="AB8" i="1"/>
  <c r="AA8" i="1"/>
  <c r="Y8" i="1"/>
  <c r="X8" i="1"/>
  <c r="V8" i="1"/>
  <c r="U8" i="1"/>
  <c r="S8" i="1"/>
  <c r="R8" i="1"/>
  <c r="P8" i="1"/>
  <c r="O8" i="1"/>
  <c r="M8" i="1"/>
  <c r="L8" i="1"/>
  <c r="J8" i="1"/>
  <c r="G8" i="1"/>
  <c r="AM4" i="1"/>
  <c r="AK4" i="1"/>
  <c r="AJ4" i="1"/>
  <c r="AH4" i="1"/>
  <c r="AG4" i="1"/>
  <c r="AE4" i="1"/>
  <c r="AD4" i="1"/>
  <c r="AD99" i="1" s="1"/>
  <c r="AB4" i="1"/>
  <c r="AA4" i="1"/>
  <c r="Y4" i="1"/>
  <c r="X4" i="1"/>
  <c r="V4" i="1"/>
  <c r="U4" i="1"/>
  <c r="U99" i="1" s="1"/>
  <c r="S4" i="1"/>
  <c r="R4" i="1"/>
  <c r="P4" i="1"/>
  <c r="O4" i="1"/>
  <c r="M4" i="1"/>
  <c r="L4" i="1"/>
  <c r="J4" i="1"/>
  <c r="G4" i="1"/>
  <c r="AN98" i="1"/>
  <c r="AN96" i="1"/>
  <c r="AN95" i="1"/>
  <c r="AN94" i="1"/>
  <c r="AN93" i="1"/>
  <c r="AN92" i="1"/>
  <c r="AN90" i="1"/>
  <c r="AN89" i="1"/>
  <c r="AN87" i="1"/>
  <c r="AN85" i="1"/>
  <c r="AN84" i="1"/>
  <c r="AN83" i="1"/>
  <c r="AN82" i="1"/>
  <c r="AN81" i="1"/>
  <c r="AN80" i="1"/>
  <c r="AN79" i="1"/>
  <c r="AN78" i="1"/>
  <c r="AN77" i="1"/>
  <c r="AN76" i="1"/>
  <c r="AN75" i="1"/>
  <c r="AN74" i="1"/>
  <c r="AN73" i="1"/>
  <c r="AN72" i="1"/>
  <c r="AN71" i="1"/>
  <c r="AN70" i="1"/>
  <c r="AN69" i="1"/>
  <c r="AN67" i="1"/>
  <c r="AN66" i="1"/>
  <c r="AN65" i="1"/>
  <c r="AN64" i="1"/>
  <c r="AN61" i="1"/>
  <c r="AN60" i="1"/>
  <c r="AN59" i="1"/>
  <c r="AN58" i="1"/>
  <c r="AN57" i="1"/>
  <c r="AN56" i="1"/>
  <c r="AN54" i="1"/>
  <c r="AN53" i="1"/>
  <c r="AN52" i="1"/>
  <c r="AN51" i="1"/>
  <c r="AN49" i="1"/>
  <c r="AN48" i="1"/>
  <c r="AN46" i="1"/>
  <c r="AN45" i="1"/>
  <c r="AN44" i="1"/>
  <c r="AN42" i="1"/>
  <c r="AN40" i="1"/>
  <c r="AN38" i="1"/>
  <c r="AN37" i="1"/>
  <c r="AN35" i="1"/>
  <c r="AN33" i="1"/>
  <c r="AN32" i="1"/>
  <c r="AN31" i="1"/>
  <c r="AN30" i="1"/>
  <c r="AN29" i="1"/>
  <c r="AN26" i="1"/>
  <c r="AN25" i="1"/>
  <c r="AN24" i="1"/>
  <c r="AN23" i="1"/>
  <c r="AN22" i="1"/>
  <c r="AN21" i="1"/>
  <c r="AN20" i="1"/>
  <c r="AN19" i="1"/>
  <c r="AN18" i="1"/>
  <c r="AN16" i="1"/>
  <c r="AN14" i="1"/>
  <c r="AN13" i="1"/>
  <c r="AN12" i="1"/>
  <c r="AN11" i="1"/>
  <c r="AN10" i="1"/>
  <c r="AN9" i="1"/>
  <c r="AN7" i="1"/>
  <c r="AN6" i="1"/>
  <c r="AN5" i="1"/>
  <c r="AJ99" i="1"/>
  <c r="AG99" i="1"/>
  <c r="AL3" i="1"/>
  <c r="AM3" i="1" s="1"/>
  <c r="AI3" i="1"/>
  <c r="AJ3" i="1" s="1"/>
  <c r="AF3" i="1"/>
  <c r="AG3" i="1" s="1"/>
  <c r="AC3" i="1"/>
  <c r="AD3" i="1" s="1"/>
  <c r="Z3" i="1"/>
  <c r="AA3" i="1" s="1"/>
  <c r="W3" i="1"/>
  <c r="X3" i="1" s="1"/>
  <c r="T3" i="1"/>
  <c r="U3" i="1" s="1"/>
  <c r="Q3" i="1"/>
  <c r="R3" i="1" s="1"/>
  <c r="N3" i="1"/>
  <c r="O3" i="1" s="1"/>
  <c r="L3" i="1"/>
  <c r="K3" i="1"/>
  <c r="I91" i="3"/>
  <c r="T91" i="8" l="1"/>
  <c r="W92" i="8"/>
  <c r="AC56" i="8"/>
  <c r="W9" i="8"/>
  <c r="T8" i="8"/>
  <c r="AC5" i="8"/>
  <c r="W86" i="8"/>
  <c r="Z87" i="8"/>
  <c r="W70" i="8"/>
  <c r="T68" i="8"/>
  <c r="G109" i="8"/>
  <c r="G111" i="8"/>
  <c r="J108" i="8"/>
  <c r="AI41" i="8"/>
  <c r="AL42" i="8"/>
  <c r="AL41" i="8" s="1"/>
  <c r="Q99" i="8"/>
  <c r="Q101" i="8" s="1"/>
  <c r="AF16" i="8"/>
  <c r="AC15" i="8"/>
  <c r="T50" i="8"/>
  <c r="W51" i="8"/>
  <c r="Z44" i="8"/>
  <c r="W43" i="8"/>
  <c r="W17" i="8"/>
  <c r="Z18" i="8"/>
  <c r="AC69" i="8"/>
  <c r="W58" i="8"/>
  <c r="T55" i="8"/>
  <c r="W6" i="8"/>
  <c r="T4" i="8"/>
  <c r="T34" i="8"/>
  <c r="W35" i="8"/>
  <c r="T27" i="8"/>
  <c r="W28" i="8"/>
  <c r="T39" i="8"/>
  <c r="W40" i="8"/>
  <c r="V107" i="8"/>
  <c r="Y107" i="8" s="1"/>
  <c r="AB107" i="8" s="1"/>
  <c r="AE107" i="8" s="1"/>
  <c r="AH107" i="8" s="1"/>
  <c r="AK107" i="8" s="1"/>
  <c r="S110" i="8"/>
  <c r="T88" i="8"/>
  <c r="W89" i="8"/>
  <c r="O91" i="1"/>
  <c r="O99" i="1" s="1"/>
  <c r="O101" i="1" s="1"/>
  <c r="K99" i="6"/>
  <c r="J99" i="5"/>
  <c r="K18" i="1"/>
  <c r="AO57" i="1"/>
  <c r="AP57" i="1" s="1"/>
  <c r="K77" i="1"/>
  <c r="N77" i="1" s="1"/>
  <c r="Q77" i="1" s="1"/>
  <c r="T77" i="1" s="1"/>
  <c r="W77" i="1" s="1"/>
  <c r="Z77" i="1" s="1"/>
  <c r="AC77" i="1" s="1"/>
  <c r="AF77" i="1" s="1"/>
  <c r="AI77" i="1" s="1"/>
  <c r="AL77" i="1" s="1"/>
  <c r="K76" i="1"/>
  <c r="N76" i="1" s="1"/>
  <c r="Q76" i="1" s="1"/>
  <c r="T76" i="1" s="1"/>
  <c r="W76" i="1" s="1"/>
  <c r="Z76" i="1" s="1"/>
  <c r="AO7" i="1"/>
  <c r="AP7" i="1" s="1"/>
  <c r="AO47" i="1"/>
  <c r="AP47" i="1" s="1"/>
  <c r="AO53" i="1"/>
  <c r="AP53" i="1" s="1"/>
  <c r="AO81" i="1"/>
  <c r="AP81" i="1" s="1"/>
  <c r="AO56" i="1"/>
  <c r="AP56" i="1" s="1"/>
  <c r="K67" i="1"/>
  <c r="N67" i="1" s="1"/>
  <c r="Q67" i="1" s="1"/>
  <c r="T67" i="1" s="1"/>
  <c r="W67" i="1" s="1"/>
  <c r="Z67" i="1" s="1"/>
  <c r="AC67" i="1" s="1"/>
  <c r="AF67" i="1" s="1"/>
  <c r="AI67" i="1" s="1"/>
  <c r="AL67" i="1" s="1"/>
  <c r="I27" i="1"/>
  <c r="AO11" i="1"/>
  <c r="AP11" i="1" s="1"/>
  <c r="AO48" i="1"/>
  <c r="AP48" i="1" s="1"/>
  <c r="I88" i="1"/>
  <c r="AO66" i="1"/>
  <c r="AP66" i="1" s="1"/>
  <c r="K46" i="1"/>
  <c r="N46" i="1" s="1"/>
  <c r="Q46" i="1" s="1"/>
  <c r="T46" i="1" s="1"/>
  <c r="W46" i="1" s="1"/>
  <c r="Z46" i="1" s="1"/>
  <c r="AC46" i="1" s="1"/>
  <c r="AF46" i="1" s="1"/>
  <c r="AI46" i="1" s="1"/>
  <c r="AL46" i="1" s="1"/>
  <c r="AO36" i="1"/>
  <c r="AP36" i="1" s="1"/>
  <c r="H53" i="1"/>
  <c r="H50" i="1" s="1"/>
  <c r="H66" i="1"/>
  <c r="K66" i="1" s="1"/>
  <c r="N66" i="1" s="1"/>
  <c r="Q66" i="1" s="1"/>
  <c r="T66" i="1" s="1"/>
  <c r="W66" i="1" s="1"/>
  <c r="Z66" i="1" s="1"/>
  <c r="AC66" i="1" s="1"/>
  <c r="AF66" i="1" s="1"/>
  <c r="AI66" i="1" s="1"/>
  <c r="AL66" i="1" s="1"/>
  <c r="AO67" i="1"/>
  <c r="AP67" i="1" s="1"/>
  <c r="H57" i="1"/>
  <c r="K57" i="1" s="1"/>
  <c r="N57" i="1" s="1"/>
  <c r="Q57" i="1" s="1"/>
  <c r="T57" i="1" s="1"/>
  <c r="W57" i="1" s="1"/>
  <c r="Z57" i="1" s="1"/>
  <c r="AC57" i="1" s="1"/>
  <c r="AF57" i="1" s="1"/>
  <c r="AI57" i="1" s="1"/>
  <c r="AL57" i="1" s="1"/>
  <c r="H48" i="1"/>
  <c r="F50" i="1"/>
  <c r="F34" i="1"/>
  <c r="H81" i="1"/>
  <c r="H68" i="1" s="1"/>
  <c r="AO46" i="1"/>
  <c r="AP46" i="1" s="1"/>
  <c r="F88" i="1"/>
  <c r="H16" i="1"/>
  <c r="H15" i="1" s="1"/>
  <c r="AO16" i="1"/>
  <c r="AP16" i="1" s="1"/>
  <c r="F41" i="1"/>
  <c r="AO41" i="1" s="1"/>
  <c r="AO38" i="1"/>
  <c r="AP38" i="1" s="1"/>
  <c r="AO58" i="1"/>
  <c r="AP58" i="1" s="1"/>
  <c r="AO98" i="1"/>
  <c r="AP98" i="1" s="1"/>
  <c r="AO29" i="1"/>
  <c r="AP29" i="1" s="1"/>
  <c r="AO49" i="1"/>
  <c r="AP49" i="1" s="1"/>
  <c r="AO59" i="1"/>
  <c r="AP59" i="1" s="1"/>
  <c r="AO69" i="1"/>
  <c r="AP69" i="1" s="1"/>
  <c r="AO5" i="1"/>
  <c r="AP5" i="1" s="1"/>
  <c r="AO30" i="1"/>
  <c r="AP30" i="1" s="1"/>
  <c r="AO90" i="1"/>
  <c r="AP90" i="1" s="1"/>
  <c r="AO71" i="1"/>
  <c r="AP71" i="1" s="1"/>
  <c r="H27" i="1"/>
  <c r="AO31" i="1"/>
  <c r="AP31" i="1" s="1"/>
  <c r="AO61" i="1"/>
  <c r="AP61" i="1" s="1"/>
  <c r="AO76" i="1"/>
  <c r="AP76" i="1" s="1"/>
  <c r="AO22" i="1"/>
  <c r="AP22" i="1" s="1"/>
  <c r="AO32" i="1"/>
  <c r="AP32" i="1" s="1"/>
  <c r="AO52" i="1"/>
  <c r="AP52" i="1" s="1"/>
  <c r="AO82" i="1"/>
  <c r="AP82" i="1" s="1"/>
  <c r="AO77" i="1"/>
  <c r="AP77" i="1" s="1"/>
  <c r="AO13" i="1"/>
  <c r="AP13" i="1" s="1"/>
  <c r="AO33" i="1"/>
  <c r="AP33" i="1" s="1"/>
  <c r="AO63" i="1"/>
  <c r="AP63" i="1" s="1"/>
  <c r="AO73" i="1"/>
  <c r="AP73" i="1" s="1"/>
  <c r="AO83" i="1"/>
  <c r="AP83" i="1" s="1"/>
  <c r="AO93" i="1"/>
  <c r="AP93" i="1" s="1"/>
  <c r="H7" i="1"/>
  <c r="K7" i="1" s="1"/>
  <c r="N7" i="1" s="1"/>
  <c r="Q7" i="1" s="1"/>
  <c r="T7" i="1" s="1"/>
  <c r="W7" i="1" s="1"/>
  <c r="Z7" i="1" s="1"/>
  <c r="AC7" i="1" s="1"/>
  <c r="AF7" i="1" s="1"/>
  <c r="AI7" i="1" s="1"/>
  <c r="AL7" i="1" s="1"/>
  <c r="H56" i="1"/>
  <c r="K56" i="1" s="1"/>
  <c r="N56" i="1" s="1"/>
  <c r="H40" i="1"/>
  <c r="H39" i="1" s="1"/>
  <c r="F17" i="1"/>
  <c r="AO14" i="1"/>
  <c r="AP14" i="1" s="1"/>
  <c r="AO54" i="1"/>
  <c r="AP54" i="1" s="1"/>
  <c r="AO64" i="1"/>
  <c r="AP64" i="1" s="1"/>
  <c r="AO74" i="1"/>
  <c r="AP74" i="1" s="1"/>
  <c r="AO84" i="1"/>
  <c r="AP84" i="1" s="1"/>
  <c r="AO94" i="1"/>
  <c r="AP94" i="1" s="1"/>
  <c r="AO18" i="1"/>
  <c r="AP18" i="1" s="1"/>
  <c r="AO25" i="1"/>
  <c r="AP25" i="1" s="1"/>
  <c r="AO45" i="1"/>
  <c r="AP45" i="1" s="1"/>
  <c r="AO75" i="1"/>
  <c r="AP75" i="1" s="1"/>
  <c r="AO85" i="1"/>
  <c r="AP85" i="1" s="1"/>
  <c r="AO95" i="1"/>
  <c r="AP95" i="1" s="1"/>
  <c r="AO96" i="1"/>
  <c r="AP96" i="1" s="1"/>
  <c r="AO23" i="1"/>
  <c r="AP23" i="1" s="1"/>
  <c r="F91" i="1"/>
  <c r="AO37" i="1"/>
  <c r="AP37" i="1" s="1"/>
  <c r="AO97" i="1"/>
  <c r="AP97" i="1" s="1"/>
  <c r="AO35" i="1"/>
  <c r="AP35" i="1" s="1"/>
  <c r="AO65" i="1"/>
  <c r="AP65" i="1" s="1"/>
  <c r="K34" i="5"/>
  <c r="L99" i="1"/>
  <c r="L101" i="1" s="1"/>
  <c r="G99" i="5"/>
  <c r="K91" i="5"/>
  <c r="K26" i="1"/>
  <c r="N26" i="1" s="1"/>
  <c r="Q26" i="1" s="1"/>
  <c r="T26" i="1" s="1"/>
  <c r="W26" i="1" s="1"/>
  <c r="Z26" i="1" s="1"/>
  <c r="AC26" i="1" s="1"/>
  <c r="AF26" i="1" s="1"/>
  <c r="AI26" i="1" s="1"/>
  <c r="AL26" i="1" s="1"/>
  <c r="AO26" i="1"/>
  <c r="AP26" i="1" s="1"/>
  <c r="I8" i="1"/>
  <c r="AO51" i="1"/>
  <c r="AP51" i="1" s="1"/>
  <c r="I50" i="1"/>
  <c r="AO62" i="1"/>
  <c r="AP62" i="1" s="1"/>
  <c r="K62" i="1"/>
  <c r="I91" i="1"/>
  <c r="AO92" i="1"/>
  <c r="AP92" i="1" s="1"/>
  <c r="K24" i="1"/>
  <c r="N24" i="1" s="1"/>
  <c r="Q24" i="1" s="1"/>
  <c r="T24" i="1" s="1"/>
  <c r="W24" i="1" s="1"/>
  <c r="Z24" i="1" s="1"/>
  <c r="AC24" i="1" s="1"/>
  <c r="AF24" i="1" s="1"/>
  <c r="AI24" i="1" s="1"/>
  <c r="AL24" i="1" s="1"/>
  <c r="AO24" i="1"/>
  <c r="AP24" i="1" s="1"/>
  <c r="I43" i="1"/>
  <c r="K32" i="1"/>
  <c r="N32" i="1" s="1"/>
  <c r="Q32" i="1" s="1"/>
  <c r="T32" i="1" s="1"/>
  <c r="W32" i="1" s="1"/>
  <c r="Z32" i="1" s="1"/>
  <c r="AC32" i="1" s="1"/>
  <c r="AF32" i="1" s="1"/>
  <c r="AI32" i="1" s="1"/>
  <c r="AL32" i="1" s="1"/>
  <c r="K95" i="1"/>
  <c r="N95" i="1" s="1"/>
  <c r="Q95" i="1" s="1"/>
  <c r="T95" i="1" s="1"/>
  <c r="W95" i="1" s="1"/>
  <c r="Z95" i="1" s="1"/>
  <c r="AC95" i="1" s="1"/>
  <c r="AF95" i="1" s="1"/>
  <c r="AI95" i="1" s="1"/>
  <c r="AL95" i="1" s="1"/>
  <c r="K25" i="1"/>
  <c r="N25" i="1" s="1"/>
  <c r="Q25" i="1" s="1"/>
  <c r="T25" i="1" s="1"/>
  <c r="W25" i="1" s="1"/>
  <c r="Z25" i="1" s="1"/>
  <c r="AC25" i="1" s="1"/>
  <c r="AF25" i="1" s="1"/>
  <c r="AI25" i="1" s="1"/>
  <c r="AL25" i="1" s="1"/>
  <c r="K82" i="1"/>
  <c r="N82" i="1" s="1"/>
  <c r="Q82" i="1" s="1"/>
  <c r="T82" i="1" s="1"/>
  <c r="W82" i="1" s="1"/>
  <c r="Z82" i="1" s="1"/>
  <c r="AC82" i="1" s="1"/>
  <c r="AF82" i="1" s="1"/>
  <c r="AI82" i="1" s="1"/>
  <c r="AL82" i="1" s="1"/>
  <c r="K69" i="1"/>
  <c r="N69" i="1" s="1"/>
  <c r="Q69" i="1" s="1"/>
  <c r="K63" i="1"/>
  <c r="K83" i="1"/>
  <c r="N83" i="1" s="1"/>
  <c r="Q83" i="1" s="1"/>
  <c r="T83" i="1" s="1"/>
  <c r="W83" i="1" s="1"/>
  <c r="Z83" i="1" s="1"/>
  <c r="AC83" i="1" s="1"/>
  <c r="AF83" i="1" s="1"/>
  <c r="AI83" i="1" s="1"/>
  <c r="AL83" i="1" s="1"/>
  <c r="AO12" i="1"/>
  <c r="AP12" i="1" s="1"/>
  <c r="K58" i="1"/>
  <c r="N58" i="1" s="1"/>
  <c r="Q58" i="1" s="1"/>
  <c r="T58" i="1" s="1"/>
  <c r="W58" i="1" s="1"/>
  <c r="Z58" i="1" s="1"/>
  <c r="AC58" i="1" s="1"/>
  <c r="AF58" i="1" s="1"/>
  <c r="AI58" i="1" s="1"/>
  <c r="AL58" i="1" s="1"/>
  <c r="K13" i="1"/>
  <c r="N13" i="1" s="1"/>
  <c r="Q13" i="1" s="1"/>
  <c r="T13" i="1" s="1"/>
  <c r="W13" i="1" s="1"/>
  <c r="Z13" i="1" s="1"/>
  <c r="AC13" i="1" s="1"/>
  <c r="AF13" i="1" s="1"/>
  <c r="AI13" i="1" s="1"/>
  <c r="AL13" i="1" s="1"/>
  <c r="K29" i="1"/>
  <c r="N29" i="1" s="1"/>
  <c r="Q29" i="1" s="1"/>
  <c r="T29" i="1" s="1"/>
  <c r="W29" i="1" s="1"/>
  <c r="Z29" i="1" s="1"/>
  <c r="AC29" i="1" s="1"/>
  <c r="AF29" i="1" s="1"/>
  <c r="AI29" i="1" s="1"/>
  <c r="AL29" i="1" s="1"/>
  <c r="K59" i="1"/>
  <c r="N59" i="1" s="1"/>
  <c r="Q59" i="1" s="1"/>
  <c r="T59" i="1" s="1"/>
  <c r="W59" i="1" s="1"/>
  <c r="Z59" i="1" s="1"/>
  <c r="AC59" i="1" s="1"/>
  <c r="AF59" i="1" s="1"/>
  <c r="AI59" i="1" s="1"/>
  <c r="AL59" i="1" s="1"/>
  <c r="K73" i="1"/>
  <c r="N73" i="1" s="1"/>
  <c r="Q73" i="1" s="1"/>
  <c r="T73" i="1" s="1"/>
  <c r="W73" i="1" s="1"/>
  <c r="Z73" i="1" s="1"/>
  <c r="AC73" i="1" s="1"/>
  <c r="AF73" i="1" s="1"/>
  <c r="AI73" i="1" s="1"/>
  <c r="AL73" i="1" s="1"/>
  <c r="K85" i="1"/>
  <c r="N85" i="1" s="1"/>
  <c r="Q85" i="1" s="1"/>
  <c r="T85" i="1" s="1"/>
  <c r="W85" i="1" s="1"/>
  <c r="Z85" i="1" s="1"/>
  <c r="AC85" i="1" s="1"/>
  <c r="AF85" i="1" s="1"/>
  <c r="AI85" i="1" s="1"/>
  <c r="AL85" i="1" s="1"/>
  <c r="K38" i="1"/>
  <c r="N38" i="1" s="1"/>
  <c r="Q38" i="1" s="1"/>
  <c r="T38" i="1" s="1"/>
  <c r="W38" i="1" s="1"/>
  <c r="Z38" i="1" s="1"/>
  <c r="AC38" i="1" s="1"/>
  <c r="AF38" i="1" s="1"/>
  <c r="AI38" i="1" s="1"/>
  <c r="AL38" i="1" s="1"/>
  <c r="K84" i="1"/>
  <c r="N84" i="1" s="1"/>
  <c r="Q84" i="1" s="1"/>
  <c r="T84" i="1" s="1"/>
  <c r="W84" i="1" s="1"/>
  <c r="Z84" i="1" s="1"/>
  <c r="AC84" i="1" s="1"/>
  <c r="AF84" i="1" s="1"/>
  <c r="AI84" i="1" s="1"/>
  <c r="AL84" i="1" s="1"/>
  <c r="K14" i="1"/>
  <c r="N14" i="1" s="1"/>
  <c r="Q14" i="1" s="1"/>
  <c r="T14" i="1" s="1"/>
  <c r="W14" i="1" s="1"/>
  <c r="Z14" i="1" s="1"/>
  <c r="AC14" i="1" s="1"/>
  <c r="AF14" i="1" s="1"/>
  <c r="AI14" i="1" s="1"/>
  <c r="AL14" i="1" s="1"/>
  <c r="K30" i="1"/>
  <c r="N30" i="1" s="1"/>
  <c r="Q30" i="1" s="1"/>
  <c r="T30" i="1" s="1"/>
  <c r="W30" i="1" s="1"/>
  <c r="Z30" i="1" s="1"/>
  <c r="AC30" i="1" s="1"/>
  <c r="AF30" i="1" s="1"/>
  <c r="AI30" i="1" s="1"/>
  <c r="AL30" i="1" s="1"/>
  <c r="K48" i="1"/>
  <c r="N48" i="1" s="1"/>
  <c r="Q48" i="1" s="1"/>
  <c r="T48" i="1" s="1"/>
  <c r="W48" i="1" s="1"/>
  <c r="Z48" i="1" s="1"/>
  <c r="AC48" i="1" s="1"/>
  <c r="AF48" i="1" s="1"/>
  <c r="AI48" i="1" s="1"/>
  <c r="AL48" i="1" s="1"/>
  <c r="K61" i="1"/>
  <c r="N61" i="1" s="1"/>
  <c r="Q61" i="1" s="1"/>
  <c r="T61" i="1" s="1"/>
  <c r="W61" i="1" s="1"/>
  <c r="Z61" i="1" s="1"/>
  <c r="AC61" i="1" s="1"/>
  <c r="AF61" i="1" s="1"/>
  <c r="AI61" i="1" s="1"/>
  <c r="AL61" i="1" s="1"/>
  <c r="K74" i="1"/>
  <c r="N74" i="1" s="1"/>
  <c r="Q74" i="1" s="1"/>
  <c r="T74" i="1" s="1"/>
  <c r="W74" i="1" s="1"/>
  <c r="Z74" i="1" s="1"/>
  <c r="AC74" i="1" s="1"/>
  <c r="AF74" i="1" s="1"/>
  <c r="AI74" i="1" s="1"/>
  <c r="AL74" i="1" s="1"/>
  <c r="K93" i="1"/>
  <c r="N93" i="1" s="1"/>
  <c r="Q93" i="1" s="1"/>
  <c r="T93" i="1" s="1"/>
  <c r="W93" i="1" s="1"/>
  <c r="Z93" i="1" s="1"/>
  <c r="AC93" i="1" s="1"/>
  <c r="AF93" i="1" s="1"/>
  <c r="AI93" i="1" s="1"/>
  <c r="AL93" i="1" s="1"/>
  <c r="I17" i="1"/>
  <c r="I79" i="1"/>
  <c r="AO79" i="1" s="1"/>
  <c r="AP79" i="1" s="1"/>
  <c r="K45" i="1"/>
  <c r="N45" i="1" s="1"/>
  <c r="Q45" i="1" s="1"/>
  <c r="T45" i="1" s="1"/>
  <c r="W45" i="1" s="1"/>
  <c r="Z45" i="1" s="1"/>
  <c r="AC45" i="1" s="1"/>
  <c r="AF45" i="1" s="1"/>
  <c r="AI45" i="1" s="1"/>
  <c r="AL45" i="1" s="1"/>
  <c r="K71" i="1"/>
  <c r="N71" i="1" s="1"/>
  <c r="Q71" i="1" s="1"/>
  <c r="T71" i="1" s="1"/>
  <c r="W71" i="1" s="1"/>
  <c r="Z71" i="1" s="1"/>
  <c r="AC71" i="1" s="1"/>
  <c r="AF71" i="1" s="1"/>
  <c r="AI71" i="1" s="1"/>
  <c r="AL71" i="1" s="1"/>
  <c r="K31" i="1"/>
  <c r="N31" i="1" s="1"/>
  <c r="Q31" i="1" s="1"/>
  <c r="T31" i="1" s="1"/>
  <c r="W31" i="1" s="1"/>
  <c r="Z31" i="1" s="1"/>
  <c r="AC31" i="1" s="1"/>
  <c r="AF31" i="1" s="1"/>
  <c r="AI31" i="1" s="1"/>
  <c r="AL31" i="1" s="1"/>
  <c r="K49" i="1"/>
  <c r="N49" i="1" s="1"/>
  <c r="Q49" i="1" s="1"/>
  <c r="T49" i="1" s="1"/>
  <c r="W49" i="1" s="1"/>
  <c r="Z49" i="1" s="1"/>
  <c r="AC49" i="1" s="1"/>
  <c r="AF49" i="1" s="1"/>
  <c r="AI49" i="1" s="1"/>
  <c r="AL49" i="1" s="1"/>
  <c r="K75" i="1"/>
  <c r="N75" i="1" s="1"/>
  <c r="Q75" i="1" s="1"/>
  <c r="T75" i="1" s="1"/>
  <c r="W75" i="1" s="1"/>
  <c r="Z75" i="1" s="1"/>
  <c r="AC75" i="1" s="1"/>
  <c r="AF75" i="1" s="1"/>
  <c r="AI75" i="1" s="1"/>
  <c r="AL75" i="1" s="1"/>
  <c r="K94" i="1"/>
  <c r="N94" i="1" s="1"/>
  <c r="Q94" i="1" s="1"/>
  <c r="T94" i="1" s="1"/>
  <c r="W94" i="1" s="1"/>
  <c r="Z94" i="1" s="1"/>
  <c r="AC94" i="1" s="1"/>
  <c r="AF94" i="1" s="1"/>
  <c r="AI94" i="1" s="1"/>
  <c r="AL94" i="1" s="1"/>
  <c r="I34" i="1"/>
  <c r="I55" i="1"/>
  <c r="K33" i="1"/>
  <c r="N33" i="1" s="1"/>
  <c r="Q33" i="1" s="1"/>
  <c r="T33" i="1" s="1"/>
  <c r="W33" i="1" s="1"/>
  <c r="Z33" i="1" s="1"/>
  <c r="AC33" i="1" s="1"/>
  <c r="AF33" i="1" s="1"/>
  <c r="AI33" i="1" s="1"/>
  <c r="AL33" i="1" s="1"/>
  <c r="K52" i="1"/>
  <c r="N52" i="1" s="1"/>
  <c r="Q52" i="1" s="1"/>
  <c r="K64" i="1"/>
  <c r="N64" i="1" s="1"/>
  <c r="Q64" i="1" s="1"/>
  <c r="T64" i="1" s="1"/>
  <c r="W64" i="1" s="1"/>
  <c r="Z64" i="1" s="1"/>
  <c r="AC64" i="1" s="1"/>
  <c r="AF64" i="1" s="1"/>
  <c r="AI64" i="1" s="1"/>
  <c r="AL64" i="1" s="1"/>
  <c r="K96" i="1"/>
  <c r="N96" i="1" s="1"/>
  <c r="Q96" i="1" s="1"/>
  <c r="T96" i="1" s="1"/>
  <c r="W96" i="1" s="1"/>
  <c r="Z96" i="1" s="1"/>
  <c r="AC96" i="1" s="1"/>
  <c r="AF96" i="1" s="1"/>
  <c r="AI96" i="1" s="1"/>
  <c r="AL96" i="1" s="1"/>
  <c r="K20" i="1"/>
  <c r="N20" i="1" s="1"/>
  <c r="Q20" i="1" s="1"/>
  <c r="T20" i="1" s="1"/>
  <c r="W20" i="1" s="1"/>
  <c r="Z20" i="1" s="1"/>
  <c r="AC20" i="1" s="1"/>
  <c r="AF20" i="1" s="1"/>
  <c r="AI20" i="1" s="1"/>
  <c r="AL20" i="1" s="1"/>
  <c r="K23" i="1"/>
  <c r="N23" i="1" s="1"/>
  <c r="Q23" i="1" s="1"/>
  <c r="T23" i="1" s="1"/>
  <c r="W23" i="1" s="1"/>
  <c r="Z23" i="1" s="1"/>
  <c r="AC23" i="1" s="1"/>
  <c r="AF23" i="1" s="1"/>
  <c r="AI23" i="1" s="1"/>
  <c r="AL23" i="1" s="1"/>
  <c r="K65" i="1"/>
  <c r="N65" i="1" s="1"/>
  <c r="Q65" i="1" s="1"/>
  <c r="T65" i="1" s="1"/>
  <c r="W65" i="1" s="1"/>
  <c r="Z65" i="1" s="1"/>
  <c r="AC65" i="1" s="1"/>
  <c r="AF65" i="1" s="1"/>
  <c r="AI65" i="1" s="1"/>
  <c r="AL65" i="1" s="1"/>
  <c r="K98" i="1"/>
  <c r="N98" i="1" s="1"/>
  <c r="Q98" i="1" s="1"/>
  <c r="T98" i="1" s="1"/>
  <c r="W98" i="1" s="1"/>
  <c r="Z98" i="1" s="1"/>
  <c r="AC98" i="1" s="1"/>
  <c r="AF98" i="1" s="1"/>
  <c r="AI98" i="1" s="1"/>
  <c r="AL98" i="1" s="1"/>
  <c r="AO9" i="1"/>
  <c r="AP9" i="1" s="1"/>
  <c r="K90" i="1"/>
  <c r="N90" i="1" s="1"/>
  <c r="Q90" i="1" s="1"/>
  <c r="T90" i="1" s="1"/>
  <c r="W90" i="1" s="1"/>
  <c r="Z90" i="1" s="1"/>
  <c r="AC90" i="1" s="1"/>
  <c r="AF90" i="1" s="1"/>
  <c r="AI90" i="1" s="1"/>
  <c r="AL90" i="1" s="1"/>
  <c r="K51" i="1"/>
  <c r="N51" i="1" s="1"/>
  <c r="K6" i="1"/>
  <c r="N6" i="1" s="1"/>
  <c r="Q6" i="1" s="1"/>
  <c r="T6" i="1" s="1"/>
  <c r="W6" i="1" s="1"/>
  <c r="Z6" i="1" s="1"/>
  <c r="AC6" i="1" s="1"/>
  <c r="AF6" i="1" s="1"/>
  <c r="AI6" i="1" s="1"/>
  <c r="AL6" i="1" s="1"/>
  <c r="K37" i="1"/>
  <c r="N37" i="1" s="1"/>
  <c r="Q37" i="1" s="1"/>
  <c r="T37" i="1" s="1"/>
  <c r="W37" i="1" s="1"/>
  <c r="Z37" i="1" s="1"/>
  <c r="AC37" i="1" s="1"/>
  <c r="AF37" i="1" s="1"/>
  <c r="AI37" i="1" s="1"/>
  <c r="AL37" i="1" s="1"/>
  <c r="K54" i="1"/>
  <c r="N54" i="1" s="1"/>
  <c r="Q54" i="1" s="1"/>
  <c r="T54" i="1" s="1"/>
  <c r="W54" i="1" s="1"/>
  <c r="Z54" i="1" s="1"/>
  <c r="AC54" i="1" s="1"/>
  <c r="AF54" i="1" s="1"/>
  <c r="AI54" i="1" s="1"/>
  <c r="AL54" i="1" s="1"/>
  <c r="AO89" i="1"/>
  <c r="AP89" i="1" s="1"/>
  <c r="K70" i="1"/>
  <c r="N70" i="1" s="1"/>
  <c r="Q70" i="1" s="1"/>
  <c r="T70" i="1" s="1"/>
  <c r="W70" i="1" s="1"/>
  <c r="Z70" i="1" s="1"/>
  <c r="AC70" i="1" s="1"/>
  <c r="AF70" i="1" s="1"/>
  <c r="AI70" i="1" s="1"/>
  <c r="AL70" i="1" s="1"/>
  <c r="K78" i="1"/>
  <c r="N78" i="1" s="1"/>
  <c r="Q78" i="1" s="1"/>
  <c r="T78" i="1" s="1"/>
  <c r="W78" i="1" s="1"/>
  <c r="Z78" i="1" s="1"/>
  <c r="AC78" i="1" s="1"/>
  <c r="AF78" i="1" s="1"/>
  <c r="AI78" i="1" s="1"/>
  <c r="AL78" i="1" s="1"/>
  <c r="K72" i="1"/>
  <c r="N72" i="1" s="1"/>
  <c r="Q72" i="1" s="1"/>
  <c r="T72" i="1" s="1"/>
  <c r="W72" i="1" s="1"/>
  <c r="Z72" i="1" s="1"/>
  <c r="AC72" i="1" s="1"/>
  <c r="AF72" i="1" s="1"/>
  <c r="AI72" i="1" s="1"/>
  <c r="AL72" i="1" s="1"/>
  <c r="K80" i="1"/>
  <c r="N80" i="1" s="1"/>
  <c r="Q80" i="1" s="1"/>
  <c r="T80" i="1" s="1"/>
  <c r="W80" i="1" s="1"/>
  <c r="Z80" i="1" s="1"/>
  <c r="AC80" i="1" s="1"/>
  <c r="AF80" i="1" s="1"/>
  <c r="AI80" i="1" s="1"/>
  <c r="AL80" i="1" s="1"/>
  <c r="AO60" i="1"/>
  <c r="AP60" i="1" s="1"/>
  <c r="AO40" i="1"/>
  <c r="AP40" i="1" s="1"/>
  <c r="AO28" i="1"/>
  <c r="AP28" i="1" s="1"/>
  <c r="K21" i="1"/>
  <c r="N21" i="1" s="1"/>
  <c r="Q21" i="1" s="1"/>
  <c r="T21" i="1" s="1"/>
  <c r="W21" i="1" s="1"/>
  <c r="Z21" i="1" s="1"/>
  <c r="AC21" i="1" s="1"/>
  <c r="AF21" i="1" s="1"/>
  <c r="AI21" i="1" s="1"/>
  <c r="AL21" i="1" s="1"/>
  <c r="K22" i="1"/>
  <c r="N22" i="1" s="1"/>
  <c r="Q22" i="1" s="1"/>
  <c r="T22" i="1" s="1"/>
  <c r="W22" i="1" s="1"/>
  <c r="Z22" i="1" s="1"/>
  <c r="AC22" i="1" s="1"/>
  <c r="AF22" i="1" s="1"/>
  <c r="AI22" i="1" s="1"/>
  <c r="AL22" i="1" s="1"/>
  <c r="AO15" i="1"/>
  <c r="K9" i="1"/>
  <c r="N9" i="1" s="1"/>
  <c r="AO10" i="1"/>
  <c r="AP10" i="1" s="1"/>
  <c r="I4" i="1"/>
  <c r="H92" i="1"/>
  <c r="H89" i="1"/>
  <c r="H88" i="1" s="1"/>
  <c r="H86" i="1"/>
  <c r="K87" i="1"/>
  <c r="K86" i="1" s="1"/>
  <c r="AO87" i="1"/>
  <c r="AP87" i="1" s="1"/>
  <c r="F86" i="1"/>
  <c r="AO86" i="1" s="1"/>
  <c r="F68" i="1"/>
  <c r="AO70" i="1"/>
  <c r="AP70" i="1" s="1"/>
  <c r="AO78" i="1"/>
  <c r="AP78" i="1" s="1"/>
  <c r="AO72" i="1"/>
  <c r="AP72" i="1" s="1"/>
  <c r="AO80" i="1"/>
  <c r="AP80" i="1" s="1"/>
  <c r="F55" i="1"/>
  <c r="H60" i="1"/>
  <c r="K60" i="1" s="1"/>
  <c r="N60" i="1" s="1"/>
  <c r="Q60" i="1" s="1"/>
  <c r="T60" i="1" s="1"/>
  <c r="W60" i="1" s="1"/>
  <c r="Z60" i="1" s="1"/>
  <c r="AC60" i="1" s="1"/>
  <c r="AF60" i="1" s="1"/>
  <c r="AI60" i="1" s="1"/>
  <c r="AL60" i="1" s="1"/>
  <c r="K44" i="1"/>
  <c r="AO44" i="1"/>
  <c r="AP44" i="1" s="1"/>
  <c r="F43" i="1"/>
  <c r="K42" i="1"/>
  <c r="K41" i="1" s="1"/>
  <c r="H41" i="1"/>
  <c r="AO42" i="1"/>
  <c r="AP42" i="1" s="1"/>
  <c r="AO39" i="1"/>
  <c r="F27" i="1"/>
  <c r="N18" i="1"/>
  <c r="AO21" i="1"/>
  <c r="AP21" i="1" s="1"/>
  <c r="AO20" i="1"/>
  <c r="AP20" i="1" s="1"/>
  <c r="H19" i="1"/>
  <c r="AO19" i="1"/>
  <c r="AP19" i="1" s="1"/>
  <c r="H11" i="1"/>
  <c r="K11" i="1" s="1"/>
  <c r="N11" i="1" s="1"/>
  <c r="Q11" i="1" s="1"/>
  <c r="T11" i="1" s="1"/>
  <c r="W11" i="1" s="1"/>
  <c r="Z11" i="1" s="1"/>
  <c r="AC11" i="1" s="1"/>
  <c r="AF11" i="1" s="1"/>
  <c r="AI11" i="1" s="1"/>
  <c r="AL11" i="1" s="1"/>
  <c r="H12" i="1"/>
  <c r="K12" i="1" s="1"/>
  <c r="N12" i="1" s="1"/>
  <c r="Q12" i="1" s="1"/>
  <c r="T12" i="1" s="1"/>
  <c r="W12" i="1" s="1"/>
  <c r="Z12" i="1" s="1"/>
  <c r="AC12" i="1" s="1"/>
  <c r="AF12" i="1" s="1"/>
  <c r="AI12" i="1" s="1"/>
  <c r="AL12" i="1" s="1"/>
  <c r="F8" i="1"/>
  <c r="H10" i="1"/>
  <c r="K10" i="1" s="1"/>
  <c r="N10" i="1" s="1"/>
  <c r="Q10" i="1" s="1"/>
  <c r="T10" i="1" s="1"/>
  <c r="W10" i="1" s="1"/>
  <c r="Z10" i="1" s="1"/>
  <c r="AC10" i="1" s="1"/>
  <c r="AF10" i="1" s="1"/>
  <c r="AI10" i="1" s="1"/>
  <c r="AL10" i="1" s="1"/>
  <c r="F4" i="1"/>
  <c r="AO6" i="1"/>
  <c r="AP6" i="1" s="1"/>
  <c r="AA99" i="1"/>
  <c r="R99" i="1"/>
  <c r="R101" i="1" s="1"/>
  <c r="X99" i="1"/>
  <c r="K35" i="1"/>
  <c r="K28" i="1"/>
  <c r="K5" i="1"/>
  <c r="J99" i="4"/>
  <c r="I91" i="4"/>
  <c r="H91" i="4"/>
  <c r="G91" i="4"/>
  <c r="F91" i="4"/>
  <c r="F99" i="4" s="1"/>
  <c r="E91" i="4"/>
  <c r="E99" i="4" s="1"/>
  <c r="I88" i="4"/>
  <c r="H88" i="4"/>
  <c r="G88" i="4"/>
  <c r="K88" i="4" s="1"/>
  <c r="F88" i="4"/>
  <c r="E88" i="4"/>
  <c r="I86" i="4"/>
  <c r="H86" i="4"/>
  <c r="G86" i="4"/>
  <c r="F86" i="4"/>
  <c r="E86" i="4"/>
  <c r="I68" i="4"/>
  <c r="H68" i="4"/>
  <c r="G68" i="4"/>
  <c r="K68" i="4" s="1"/>
  <c r="F68" i="4"/>
  <c r="E68" i="4"/>
  <c r="I55" i="4"/>
  <c r="H55" i="4"/>
  <c r="G55" i="4"/>
  <c r="F55" i="4"/>
  <c r="E55" i="4"/>
  <c r="I50" i="4"/>
  <c r="H50" i="4"/>
  <c r="G50" i="4"/>
  <c r="K50" i="4" s="1"/>
  <c r="F50" i="4"/>
  <c r="E50" i="4"/>
  <c r="I43" i="4"/>
  <c r="H43" i="4"/>
  <c r="G43" i="4"/>
  <c r="F43" i="4"/>
  <c r="E43" i="4"/>
  <c r="I41" i="4"/>
  <c r="H41" i="4"/>
  <c r="G41" i="4"/>
  <c r="F41" i="4"/>
  <c r="E41" i="4"/>
  <c r="I39" i="4"/>
  <c r="H39" i="4"/>
  <c r="G39" i="4"/>
  <c r="F39" i="4"/>
  <c r="E39" i="4"/>
  <c r="I34" i="4"/>
  <c r="H34" i="4"/>
  <c r="G34" i="4"/>
  <c r="F34" i="4"/>
  <c r="E34" i="4"/>
  <c r="I27" i="4"/>
  <c r="H27" i="4"/>
  <c r="G27" i="4"/>
  <c r="F27" i="4"/>
  <c r="E27" i="4"/>
  <c r="I17" i="4"/>
  <c r="H17" i="4"/>
  <c r="G17" i="4"/>
  <c r="F17" i="4"/>
  <c r="E17" i="4"/>
  <c r="I15" i="4"/>
  <c r="H15" i="4"/>
  <c r="G15" i="4"/>
  <c r="F15" i="4"/>
  <c r="E15" i="4"/>
  <c r="I8" i="4"/>
  <c r="K8" i="4" s="1"/>
  <c r="H8" i="4"/>
  <c r="G8" i="4"/>
  <c r="F8" i="4"/>
  <c r="E8" i="4"/>
  <c r="I4" i="4"/>
  <c r="H4" i="4"/>
  <c r="G4" i="4"/>
  <c r="F4" i="4"/>
  <c r="E4" i="4"/>
  <c r="I88" i="3"/>
  <c r="H88" i="3"/>
  <c r="H91" i="3"/>
  <c r="K91" i="3" s="1"/>
  <c r="F91" i="3"/>
  <c r="G91" i="3"/>
  <c r="G99" i="3" s="1"/>
  <c r="J91" i="3"/>
  <c r="E91" i="3"/>
  <c r="F88" i="3"/>
  <c r="G88" i="3"/>
  <c r="J88" i="3"/>
  <c r="E88" i="3"/>
  <c r="J86" i="3"/>
  <c r="I86" i="3"/>
  <c r="H86" i="3"/>
  <c r="G86" i="3"/>
  <c r="F86" i="3"/>
  <c r="E86" i="3"/>
  <c r="F68" i="3"/>
  <c r="G68" i="3"/>
  <c r="H68" i="3"/>
  <c r="I68" i="3"/>
  <c r="J68" i="3"/>
  <c r="E68" i="3"/>
  <c r="F55" i="3"/>
  <c r="G55" i="3"/>
  <c r="H55" i="3"/>
  <c r="I55" i="3"/>
  <c r="J55" i="3"/>
  <c r="K55" i="3" s="1"/>
  <c r="E55" i="3"/>
  <c r="F50" i="3"/>
  <c r="G50" i="3"/>
  <c r="H50" i="3"/>
  <c r="I50" i="3"/>
  <c r="J50" i="3"/>
  <c r="E50" i="3"/>
  <c r="F43" i="3"/>
  <c r="G43" i="3"/>
  <c r="H43" i="3"/>
  <c r="I43" i="3"/>
  <c r="J43" i="3"/>
  <c r="E43" i="3"/>
  <c r="J41" i="3"/>
  <c r="I41" i="3"/>
  <c r="H41" i="3"/>
  <c r="G41" i="3"/>
  <c r="F41" i="3"/>
  <c r="E41" i="3"/>
  <c r="J39" i="3"/>
  <c r="I39" i="3"/>
  <c r="H39" i="3"/>
  <c r="G39" i="3"/>
  <c r="F39" i="3"/>
  <c r="E39" i="3"/>
  <c r="F34" i="3"/>
  <c r="G34" i="3"/>
  <c r="H34" i="3"/>
  <c r="I34" i="3"/>
  <c r="J34" i="3"/>
  <c r="E34" i="3"/>
  <c r="F27" i="3"/>
  <c r="G27" i="3"/>
  <c r="H27" i="3"/>
  <c r="I27" i="3"/>
  <c r="J27" i="3"/>
  <c r="E27" i="3"/>
  <c r="F17" i="3"/>
  <c r="G17" i="3"/>
  <c r="H17" i="3"/>
  <c r="I17" i="3"/>
  <c r="J17" i="3"/>
  <c r="E17" i="3"/>
  <c r="F15" i="3"/>
  <c r="G15" i="3"/>
  <c r="H15" i="3"/>
  <c r="I15" i="3"/>
  <c r="J15" i="3"/>
  <c r="E15" i="3"/>
  <c r="F8" i="3"/>
  <c r="G8" i="3"/>
  <c r="H8" i="3"/>
  <c r="K8" i="3" s="1"/>
  <c r="I8" i="3"/>
  <c r="J8" i="3"/>
  <c r="E8" i="3"/>
  <c r="F4" i="3"/>
  <c r="G4" i="3"/>
  <c r="H4" i="3"/>
  <c r="I4" i="3"/>
  <c r="J4" i="3"/>
  <c r="E4" i="3"/>
  <c r="K4" i="3" s="1"/>
  <c r="Z86" i="8" l="1"/>
  <c r="AC87" i="8"/>
  <c r="AF69" i="8"/>
  <c r="AC18" i="8"/>
  <c r="Z17" i="8"/>
  <c r="Z43" i="8"/>
  <c r="AC44" i="8"/>
  <c r="AI16" i="8"/>
  <c r="AF15" i="8"/>
  <c r="Z40" i="8"/>
  <c r="W39" i="8"/>
  <c r="AF5" i="8"/>
  <c r="W27" i="8"/>
  <c r="Z28" i="8"/>
  <c r="J109" i="8"/>
  <c r="M108" i="8"/>
  <c r="J111" i="8"/>
  <c r="W34" i="8"/>
  <c r="Z35" i="8"/>
  <c r="Z89" i="8"/>
  <c r="W88" i="8"/>
  <c r="T99" i="8"/>
  <c r="T101" i="8" s="1"/>
  <c r="Z51" i="8"/>
  <c r="W50" i="8"/>
  <c r="W91" i="8"/>
  <c r="Z92" i="8"/>
  <c r="Z58" i="8"/>
  <c r="W55" i="8"/>
  <c r="W8" i="8"/>
  <c r="Z9" i="8"/>
  <c r="AF56" i="8"/>
  <c r="Z6" i="8"/>
  <c r="W4" i="8"/>
  <c r="Z70" i="8"/>
  <c r="W68" i="8"/>
  <c r="K99" i="5"/>
  <c r="I99" i="4"/>
  <c r="K53" i="1"/>
  <c r="N53" i="1" s="1"/>
  <c r="Q53" i="1" s="1"/>
  <c r="T53" i="1" s="1"/>
  <c r="W53" i="1" s="1"/>
  <c r="Z53" i="1" s="1"/>
  <c r="AC53" i="1" s="1"/>
  <c r="AF53" i="1" s="1"/>
  <c r="AI53" i="1" s="1"/>
  <c r="AL53" i="1" s="1"/>
  <c r="AO8" i="1"/>
  <c r="K55" i="4"/>
  <c r="H99" i="4"/>
  <c r="AO27" i="1"/>
  <c r="AO43" i="1"/>
  <c r="AO88" i="1"/>
  <c r="G99" i="4"/>
  <c r="K91" i="4"/>
  <c r="AO55" i="1"/>
  <c r="K68" i="3"/>
  <c r="K81" i="1"/>
  <c r="N81" i="1" s="1"/>
  <c r="Q81" i="1" s="1"/>
  <c r="T81" i="1" s="1"/>
  <c r="W81" i="1" s="1"/>
  <c r="Z81" i="1" s="1"/>
  <c r="AC81" i="1" s="1"/>
  <c r="AF81" i="1" s="1"/>
  <c r="AI81" i="1" s="1"/>
  <c r="AL81" i="1" s="1"/>
  <c r="AO34" i="1"/>
  <c r="AO50" i="1"/>
  <c r="F99" i="3"/>
  <c r="K88" i="3"/>
  <c r="K40" i="1"/>
  <c r="K39" i="1" s="1"/>
  <c r="AO17" i="1"/>
  <c r="K16" i="1"/>
  <c r="K15" i="1" s="1"/>
  <c r="K89" i="1"/>
  <c r="K88" i="1" s="1"/>
  <c r="AO91" i="1"/>
  <c r="H4" i="1"/>
  <c r="AO4" i="1"/>
  <c r="H55" i="1"/>
  <c r="K4" i="1"/>
  <c r="I68" i="1"/>
  <c r="AO68" i="1" s="1"/>
  <c r="K79" i="1"/>
  <c r="N79" i="1" s="1"/>
  <c r="Q79" i="1" s="1"/>
  <c r="T79" i="1" s="1"/>
  <c r="W79" i="1" s="1"/>
  <c r="Z79" i="1" s="1"/>
  <c r="AC79" i="1" s="1"/>
  <c r="AF79" i="1" s="1"/>
  <c r="AI79" i="1" s="1"/>
  <c r="AL79" i="1" s="1"/>
  <c r="N87" i="1"/>
  <c r="N86" i="1" s="1"/>
  <c r="K27" i="1"/>
  <c r="N42" i="1"/>
  <c r="N41" i="1" s="1"/>
  <c r="K92" i="1"/>
  <c r="Q56" i="1"/>
  <c r="F99" i="1"/>
  <c r="F101" i="1" s="1"/>
  <c r="K55" i="1"/>
  <c r="Q51" i="1"/>
  <c r="N44" i="1"/>
  <c r="K19" i="1"/>
  <c r="H17" i="1"/>
  <c r="Q18" i="1"/>
  <c r="T18" i="1" s="1"/>
  <c r="N8" i="1"/>
  <c r="K8" i="1"/>
  <c r="H8" i="1"/>
  <c r="AC76" i="1"/>
  <c r="AF76" i="1" s="1"/>
  <c r="AI76" i="1" s="1"/>
  <c r="AL76" i="1" s="1"/>
  <c r="N35" i="1"/>
  <c r="Q9" i="1"/>
  <c r="Q8" i="1" s="1"/>
  <c r="T52" i="1"/>
  <c r="T69" i="1"/>
  <c r="N5" i="1"/>
  <c r="N4" i="1" s="1"/>
  <c r="E99" i="3"/>
  <c r="J99" i="3"/>
  <c r="I99" i="3"/>
  <c r="H99" i="3"/>
  <c r="E107" i="1"/>
  <c r="G107" i="1" s="1"/>
  <c r="AN103" i="1"/>
  <c r="AN102" i="1"/>
  <c r="E97" i="1"/>
  <c r="E88" i="1"/>
  <c r="AN88" i="1" s="1"/>
  <c r="E86" i="1"/>
  <c r="E68" i="1"/>
  <c r="AN68" i="1" s="1"/>
  <c r="M63" i="1"/>
  <c r="M62" i="1"/>
  <c r="E55" i="1"/>
  <c r="E50" i="1"/>
  <c r="E47" i="1"/>
  <c r="E41" i="1"/>
  <c r="E39" i="1"/>
  <c r="E36" i="1"/>
  <c r="M28" i="1"/>
  <c r="N28" i="1" s="1"/>
  <c r="N27" i="1" s="1"/>
  <c r="E27" i="1"/>
  <c r="E17" i="1"/>
  <c r="E15" i="1"/>
  <c r="E8" i="1"/>
  <c r="S99" i="1"/>
  <c r="E4" i="1"/>
  <c r="AC43" i="8" l="1"/>
  <c r="AF44" i="8"/>
  <c r="Z27" i="8"/>
  <c r="AC28" i="8"/>
  <c r="AI5" i="8"/>
  <c r="AC58" i="8"/>
  <c r="Z55" i="8"/>
  <c r="M109" i="8"/>
  <c r="P108" i="8"/>
  <c r="M111" i="8"/>
  <c r="W99" i="8"/>
  <c r="W101" i="8" s="1"/>
  <c r="AC6" i="8"/>
  <c r="Z4" i="8"/>
  <c r="AI56" i="8"/>
  <c r="AC89" i="8"/>
  <c r="Z88" i="8"/>
  <c r="AF87" i="8"/>
  <c r="AC86" i="8"/>
  <c r="AL16" i="8"/>
  <c r="AL15" i="8" s="1"/>
  <c r="AI15" i="8"/>
  <c r="Z91" i="8"/>
  <c r="AC92" i="8"/>
  <c r="AC70" i="8"/>
  <c r="Z68" i="8"/>
  <c r="AC51" i="8"/>
  <c r="Z50" i="8"/>
  <c r="AF18" i="8"/>
  <c r="AC17" i="8"/>
  <c r="AI69" i="8"/>
  <c r="Z8" i="8"/>
  <c r="AC9" i="8"/>
  <c r="AC35" i="8"/>
  <c r="Z34" i="8"/>
  <c r="Z39" i="8"/>
  <c r="AC40" i="8"/>
  <c r="AP88" i="1"/>
  <c r="N50" i="1"/>
  <c r="K50" i="1"/>
  <c r="K99" i="4"/>
  <c r="N40" i="1"/>
  <c r="N39" i="1" s="1"/>
  <c r="N16" i="1"/>
  <c r="N15" i="1" s="1"/>
  <c r="N89" i="1"/>
  <c r="N88" i="1" s="1"/>
  <c r="AP68" i="1"/>
  <c r="AO99" i="1"/>
  <c r="K68" i="1"/>
  <c r="Q87" i="1"/>
  <c r="Q86" i="1" s="1"/>
  <c r="T68" i="1"/>
  <c r="N68" i="1"/>
  <c r="Q68" i="1"/>
  <c r="I99" i="1"/>
  <c r="I101" i="1" s="1"/>
  <c r="Q42" i="1"/>
  <c r="Q41" i="1" s="1"/>
  <c r="N92" i="1"/>
  <c r="T56" i="1"/>
  <c r="T51" i="1"/>
  <c r="Q50" i="1"/>
  <c r="Q44" i="1"/>
  <c r="Q35" i="1"/>
  <c r="K17" i="1"/>
  <c r="N19" i="1"/>
  <c r="Q28" i="1"/>
  <c r="Q27" i="1" s="1"/>
  <c r="Y99" i="1"/>
  <c r="Y104" i="1" s="1"/>
  <c r="E34" i="1"/>
  <c r="AN34" i="1" s="1"/>
  <c r="AP34" i="1" s="1"/>
  <c r="AN36" i="1"/>
  <c r="H36" i="1"/>
  <c r="H34" i="1" s="1"/>
  <c r="AN4" i="1"/>
  <c r="AP4" i="1" s="1"/>
  <c r="AB99" i="1"/>
  <c r="AB105" i="1" s="1"/>
  <c r="AN15" i="1"/>
  <c r="AP15" i="1" s="1"/>
  <c r="AN39" i="1"/>
  <c r="AP39" i="1" s="1"/>
  <c r="G99" i="1"/>
  <c r="AN86" i="1"/>
  <c r="AP86" i="1" s="1"/>
  <c r="W18" i="1"/>
  <c r="J99" i="1"/>
  <c r="J105" i="1" s="1"/>
  <c r="AH99" i="1"/>
  <c r="AH105" i="1" s="1"/>
  <c r="W52" i="1"/>
  <c r="M99" i="1"/>
  <c r="V99" i="1"/>
  <c r="V104" i="1" s="1"/>
  <c r="AE99" i="1"/>
  <c r="AE104" i="1" s="1"/>
  <c r="AK99" i="1"/>
  <c r="AK104" i="1" s="1"/>
  <c r="AN27" i="1"/>
  <c r="AP27" i="1" s="1"/>
  <c r="AN28" i="1"/>
  <c r="E43" i="1"/>
  <c r="AN43" i="1" s="1"/>
  <c r="AP43" i="1" s="1"/>
  <c r="AN47" i="1"/>
  <c r="H47" i="1"/>
  <c r="H43" i="1" s="1"/>
  <c r="AN62" i="1"/>
  <c r="N62" i="1"/>
  <c r="P99" i="1"/>
  <c r="P105" i="1" s="1"/>
  <c r="AN8" i="1"/>
  <c r="AP8" i="1" s="1"/>
  <c r="AN17" i="1"/>
  <c r="AP17" i="1" s="1"/>
  <c r="AN41" i="1"/>
  <c r="AP41" i="1" s="1"/>
  <c r="AN50" i="1"/>
  <c r="AP50" i="1" s="1"/>
  <c r="AN63" i="1"/>
  <c r="N63" i="1"/>
  <c r="Q63" i="1" s="1"/>
  <c r="T63" i="1" s="1"/>
  <c r="W63" i="1" s="1"/>
  <c r="Z63" i="1" s="1"/>
  <c r="AC63" i="1" s="1"/>
  <c r="AF63" i="1" s="1"/>
  <c r="AI63" i="1" s="1"/>
  <c r="AL63" i="1" s="1"/>
  <c r="E91" i="1"/>
  <c r="AN91" i="1" s="1"/>
  <c r="AP91" i="1" s="1"/>
  <c r="AN97" i="1"/>
  <c r="H97" i="1"/>
  <c r="H91" i="1" s="1"/>
  <c r="W69" i="1"/>
  <c r="W68" i="1" s="1"/>
  <c r="T9" i="1"/>
  <c r="T8" i="1" s="1"/>
  <c r="Q5" i="1"/>
  <c r="Q4" i="1" s="1"/>
  <c r="AN55" i="1"/>
  <c r="AP55" i="1" s="1"/>
  <c r="K99" i="3"/>
  <c r="S105" i="1"/>
  <c r="E99" i="1"/>
  <c r="E101" i="1" s="1"/>
  <c r="G110" i="1"/>
  <c r="J107" i="1"/>
  <c r="E110" i="1"/>
  <c r="AI87" i="8" l="1"/>
  <c r="AF86" i="8"/>
  <c r="AC88" i="8"/>
  <c r="AF89" i="8"/>
  <c r="AF70" i="8"/>
  <c r="AC68" i="8"/>
  <c r="AF58" i="8"/>
  <c r="AC55" i="8"/>
  <c r="AF35" i="8"/>
  <c r="AC34" i="8"/>
  <c r="AL5" i="8"/>
  <c r="Z99" i="8"/>
  <c r="Z101" i="8" s="1"/>
  <c r="AI44" i="8"/>
  <c r="AF43" i="8"/>
  <c r="S108" i="8"/>
  <c r="P111" i="8"/>
  <c r="P109" i="8"/>
  <c r="AF17" i="8"/>
  <c r="AI18" i="8"/>
  <c r="AC39" i="8"/>
  <c r="AF40" i="8"/>
  <c r="AC50" i="8"/>
  <c r="AF51" i="8"/>
  <c r="AL56" i="8"/>
  <c r="AC8" i="8"/>
  <c r="AF9" i="8"/>
  <c r="AF92" i="8"/>
  <c r="AC91" i="8"/>
  <c r="AC27" i="8"/>
  <c r="AF28" i="8"/>
  <c r="AF6" i="8"/>
  <c r="AC4" i="8"/>
  <c r="AL69" i="8"/>
  <c r="Q40" i="1"/>
  <c r="Q39" i="1" s="1"/>
  <c r="T87" i="1"/>
  <c r="T86" i="1" s="1"/>
  <c r="Q16" i="1"/>
  <c r="Q15" i="1" s="1"/>
  <c r="Q89" i="1"/>
  <c r="Q88" i="1" s="1"/>
  <c r="N55" i="1"/>
  <c r="T42" i="1"/>
  <c r="T41" i="1" s="1"/>
  <c r="Q92" i="1"/>
  <c r="W56" i="1"/>
  <c r="W51" i="1"/>
  <c r="T50" i="1"/>
  <c r="T44" i="1"/>
  <c r="T35" i="1"/>
  <c r="Q19" i="1"/>
  <c r="N17" i="1"/>
  <c r="AP99" i="1"/>
  <c r="K36" i="1"/>
  <c r="K34" i="1" s="1"/>
  <c r="AN99" i="1"/>
  <c r="K47" i="1"/>
  <c r="K43" i="1" s="1"/>
  <c r="Z69" i="1"/>
  <c r="Z68" i="1" s="1"/>
  <c r="K97" i="1"/>
  <c r="K91" i="1" s="1"/>
  <c r="Z18" i="1"/>
  <c r="W9" i="1"/>
  <c r="W8" i="1" s="1"/>
  <c r="Q62" i="1"/>
  <c r="Q55" i="1" s="1"/>
  <c r="Z52" i="1"/>
  <c r="T28" i="1"/>
  <c r="T27" i="1" s="1"/>
  <c r="T5" i="1"/>
  <c r="T4" i="1" s="1"/>
  <c r="J104" i="1"/>
  <c r="M104" i="1"/>
  <c r="AB104" i="1"/>
  <c r="AE105" i="1"/>
  <c r="P104" i="1"/>
  <c r="E104" i="1"/>
  <c r="Y105" i="1"/>
  <c r="V105" i="1"/>
  <c r="AK105" i="1"/>
  <c r="S104" i="1"/>
  <c r="AH104" i="1"/>
  <c r="G104" i="1"/>
  <c r="G105" i="1"/>
  <c r="M107" i="1"/>
  <c r="J110" i="1"/>
  <c r="E108" i="1"/>
  <c r="E105" i="1"/>
  <c r="AL18" i="8" l="1"/>
  <c r="AL17" i="8" s="1"/>
  <c r="AI17" i="8"/>
  <c r="AI35" i="8"/>
  <c r="AF34" i="8"/>
  <c r="AI70" i="8"/>
  <c r="AF68" i="8"/>
  <c r="AI92" i="8"/>
  <c r="AF91" i="8"/>
  <c r="AF8" i="8"/>
  <c r="AI9" i="8"/>
  <c r="AI58" i="8"/>
  <c r="AF55" i="8"/>
  <c r="S111" i="8"/>
  <c r="V108" i="8"/>
  <c r="S109" i="8"/>
  <c r="AC99" i="8"/>
  <c r="AC101" i="8" s="1"/>
  <c r="AL44" i="8"/>
  <c r="AL43" i="8" s="1"/>
  <c r="AI43" i="8"/>
  <c r="AF88" i="8"/>
  <c r="AI89" i="8"/>
  <c r="AI6" i="8"/>
  <c r="AF4" i="8"/>
  <c r="AF50" i="8"/>
  <c r="AI51" i="8"/>
  <c r="AI28" i="8"/>
  <c r="AF27" i="8"/>
  <c r="AF39" i="8"/>
  <c r="AI40" i="8"/>
  <c r="AL87" i="8"/>
  <c r="AL86" i="8" s="1"/>
  <c r="AI86" i="8"/>
  <c r="T16" i="1"/>
  <c r="T15" i="1" s="1"/>
  <c r="T40" i="1"/>
  <c r="T39" i="1" s="1"/>
  <c r="W87" i="1"/>
  <c r="W86" i="1" s="1"/>
  <c r="T89" i="1"/>
  <c r="T88" i="1" s="1"/>
  <c r="W42" i="1"/>
  <c r="W41" i="1" s="1"/>
  <c r="T92" i="1"/>
  <c r="Z56" i="1"/>
  <c r="W50" i="1"/>
  <c r="Z51" i="1"/>
  <c r="W44" i="1"/>
  <c r="W35" i="1"/>
  <c r="T19" i="1"/>
  <c r="Q17" i="1"/>
  <c r="Z9" i="1"/>
  <c r="Z8" i="1" s="1"/>
  <c r="AC18" i="1"/>
  <c r="H99" i="1"/>
  <c r="H101" i="1" s="1"/>
  <c r="AC69" i="1"/>
  <c r="AC68" i="1" s="1"/>
  <c r="AC52" i="1"/>
  <c r="N47" i="1"/>
  <c r="N43" i="1" s="1"/>
  <c r="N36" i="1"/>
  <c r="N34" i="1" s="1"/>
  <c r="W28" i="1"/>
  <c r="W27" i="1" s="1"/>
  <c r="T62" i="1"/>
  <c r="T55" i="1" s="1"/>
  <c r="N97" i="1"/>
  <c r="N91" i="1" s="1"/>
  <c r="W5" i="1"/>
  <c r="W4" i="1" s="1"/>
  <c r="M105" i="1"/>
  <c r="E109" i="1"/>
  <c r="E111" i="1"/>
  <c r="G108" i="1"/>
  <c r="M110" i="1"/>
  <c r="P107" i="1"/>
  <c r="AI27" i="8" l="1"/>
  <c r="AL28" i="8"/>
  <c r="AL27" i="8" s="1"/>
  <c r="AL9" i="8"/>
  <c r="AL8" i="8" s="1"/>
  <c r="AI8" i="8"/>
  <c r="AI39" i="8"/>
  <c r="AL40" i="8"/>
  <c r="AL39" i="8" s="1"/>
  <c r="AL92" i="8"/>
  <c r="AL91" i="8" s="1"/>
  <c r="AI91" i="8"/>
  <c r="AL51" i="8"/>
  <c r="AL50" i="8" s="1"/>
  <c r="AI50" i="8"/>
  <c r="AL70" i="8"/>
  <c r="AL68" i="8" s="1"/>
  <c r="AI68" i="8"/>
  <c r="Y108" i="8"/>
  <c r="V109" i="8"/>
  <c r="AF99" i="8"/>
  <c r="AF101" i="8" s="1"/>
  <c r="AL35" i="8"/>
  <c r="AL34" i="8" s="1"/>
  <c r="AI34" i="8"/>
  <c r="AL6" i="8"/>
  <c r="AL4" i="8" s="1"/>
  <c r="AI4" i="8"/>
  <c r="AL89" i="8"/>
  <c r="AL88" i="8" s="1"/>
  <c r="AI88" i="8"/>
  <c r="AL58" i="8"/>
  <c r="AL55" i="8" s="1"/>
  <c r="AI55" i="8"/>
  <c r="W16" i="1"/>
  <c r="W15" i="1" s="1"/>
  <c r="W40" i="1"/>
  <c r="W39" i="1" s="1"/>
  <c r="W89" i="1"/>
  <c r="W88" i="1" s="1"/>
  <c r="Z87" i="1"/>
  <c r="Z86" i="1" s="1"/>
  <c r="Z42" i="1"/>
  <c r="Z41" i="1" s="1"/>
  <c r="W92" i="1"/>
  <c r="AC56" i="1"/>
  <c r="AC51" i="1"/>
  <c r="Z50" i="1"/>
  <c r="Z44" i="1"/>
  <c r="Z35" i="1"/>
  <c r="W19" i="1"/>
  <c r="T17" i="1"/>
  <c r="AF18" i="1"/>
  <c r="Q47" i="1"/>
  <c r="Q43" i="1" s="1"/>
  <c r="AF69" i="1"/>
  <c r="AF68" i="1" s="1"/>
  <c r="Z28" i="1"/>
  <c r="Z27" i="1" s="1"/>
  <c r="N99" i="1"/>
  <c r="N101" i="1" s="1"/>
  <c r="Q36" i="1"/>
  <c r="Q34" i="1" s="1"/>
  <c r="AC9" i="1"/>
  <c r="AC8" i="1" s="1"/>
  <c r="K99" i="1"/>
  <c r="K101" i="1" s="1"/>
  <c r="Q97" i="1"/>
  <c r="Q91" i="1" s="1"/>
  <c r="AF52" i="1"/>
  <c r="W62" i="1"/>
  <c r="W55" i="1" s="1"/>
  <c r="Z5" i="1"/>
  <c r="Z4" i="1" s="1"/>
  <c r="S107" i="1"/>
  <c r="P110" i="1"/>
  <c r="G109" i="1"/>
  <c r="J108" i="1"/>
  <c r="G111" i="1"/>
  <c r="AI99" i="8" l="1"/>
  <c r="AI101" i="8" s="1"/>
  <c r="AL99" i="8"/>
  <c r="AL101" i="8" s="1"/>
  <c r="AB108" i="8"/>
  <c r="Y109" i="8"/>
  <c r="Z16" i="1"/>
  <c r="Z15" i="1" s="1"/>
  <c r="Z40" i="1"/>
  <c r="Z39" i="1" s="1"/>
  <c r="AC87" i="1"/>
  <c r="AC86" i="1" s="1"/>
  <c r="Z89" i="1"/>
  <c r="Z88" i="1" s="1"/>
  <c r="AC42" i="1"/>
  <c r="AC41" i="1" s="1"/>
  <c r="Z92" i="1"/>
  <c r="AF56" i="1"/>
  <c r="AF51" i="1"/>
  <c r="AC50" i="1"/>
  <c r="AC44" i="1"/>
  <c r="AC35" i="1"/>
  <c r="Z19" i="1"/>
  <c r="W17" i="1"/>
  <c r="T36" i="1"/>
  <c r="T34" i="1" s="1"/>
  <c r="T47" i="1"/>
  <c r="T43" i="1" s="1"/>
  <c r="AC28" i="1"/>
  <c r="AC27" i="1" s="1"/>
  <c r="AI18" i="1"/>
  <c r="Z62" i="1"/>
  <c r="Z55" i="1" s="1"/>
  <c r="AI52" i="1"/>
  <c r="T97" i="1"/>
  <c r="T91" i="1" s="1"/>
  <c r="AF9" i="1"/>
  <c r="AF8" i="1" s="1"/>
  <c r="AI69" i="1"/>
  <c r="AI68" i="1" s="1"/>
  <c r="AC5" i="1"/>
  <c r="AC4" i="1" s="1"/>
  <c r="M108" i="1"/>
  <c r="J109" i="1"/>
  <c r="J111" i="1"/>
  <c r="V107" i="1"/>
  <c r="Y107" i="1" s="1"/>
  <c r="AB107" i="1" s="1"/>
  <c r="AE107" i="1" s="1"/>
  <c r="AH107" i="1" s="1"/>
  <c r="AK107" i="1" s="1"/>
  <c r="S110" i="1"/>
  <c r="AE108" i="8" l="1"/>
  <c r="AB109" i="8"/>
  <c r="AC16" i="1"/>
  <c r="AC15" i="1" s="1"/>
  <c r="AC40" i="1"/>
  <c r="AC39" i="1" s="1"/>
  <c r="AF87" i="1"/>
  <c r="AF86" i="1" s="1"/>
  <c r="AC89" i="1"/>
  <c r="AC88" i="1" s="1"/>
  <c r="AF42" i="1"/>
  <c r="AF41" i="1" s="1"/>
  <c r="AC92" i="1"/>
  <c r="AI56" i="1"/>
  <c r="AF50" i="1"/>
  <c r="AI51" i="1"/>
  <c r="AF44" i="1"/>
  <c r="AF35" i="1"/>
  <c r="AC19" i="1"/>
  <c r="Z17" i="1"/>
  <c r="W47" i="1"/>
  <c r="W43" i="1" s="1"/>
  <c r="AL52" i="1"/>
  <c r="AC62" i="1"/>
  <c r="AC55" i="1" s="1"/>
  <c r="AI9" i="1"/>
  <c r="AI8" i="1" s="1"/>
  <c r="W97" i="1"/>
  <c r="W91" i="1" s="1"/>
  <c r="T99" i="1"/>
  <c r="T101" i="1" s="1"/>
  <c r="W36" i="1"/>
  <c r="W34" i="1" s="1"/>
  <c r="AL69" i="1"/>
  <c r="AL68" i="1" s="1"/>
  <c r="AL18" i="1"/>
  <c r="Q99" i="1"/>
  <c r="Q101" i="1" s="1"/>
  <c r="AF28" i="1"/>
  <c r="AF27" i="1" s="1"/>
  <c r="AF5" i="1"/>
  <c r="AF4" i="1" s="1"/>
  <c r="M109" i="1"/>
  <c r="P108" i="1"/>
  <c r="M111" i="1"/>
  <c r="AH108" i="8" l="1"/>
  <c r="AE109" i="8"/>
  <c r="AF16" i="1"/>
  <c r="AF15" i="1" s="1"/>
  <c r="AF40" i="1"/>
  <c r="AF39" i="1" s="1"/>
  <c r="AI87" i="1"/>
  <c r="AI86" i="1" s="1"/>
  <c r="AF89" i="1"/>
  <c r="AF88" i="1" s="1"/>
  <c r="AI42" i="1"/>
  <c r="AI41" i="1" s="1"/>
  <c r="AF92" i="1"/>
  <c r="AL56" i="1"/>
  <c r="AI50" i="1"/>
  <c r="AL51" i="1"/>
  <c r="AL50" i="1" s="1"/>
  <c r="AI44" i="1"/>
  <c r="AI35" i="1"/>
  <c r="AF19" i="1"/>
  <c r="AC17" i="1"/>
  <c r="AI28" i="1"/>
  <c r="AI27" i="1" s="1"/>
  <c r="Z36" i="1"/>
  <c r="Z34" i="1" s="1"/>
  <c r="AL9" i="1"/>
  <c r="AL8" i="1" s="1"/>
  <c r="Z47" i="1"/>
  <c r="Z43" i="1" s="1"/>
  <c r="AF62" i="1"/>
  <c r="AF55" i="1" s="1"/>
  <c r="Z97" i="1"/>
  <c r="Z91" i="1" s="1"/>
  <c r="AI5" i="1"/>
  <c r="AI4" i="1" s="1"/>
  <c r="S108" i="1"/>
  <c r="P111" i="1"/>
  <c r="P109" i="1"/>
  <c r="AH109" i="8" l="1"/>
  <c r="AK108" i="8"/>
  <c r="AK109" i="8" s="1"/>
  <c r="AI16" i="1"/>
  <c r="AI15" i="1" s="1"/>
  <c r="AI40" i="1"/>
  <c r="AI39" i="1" s="1"/>
  <c r="AL87" i="1"/>
  <c r="AL86" i="1" s="1"/>
  <c r="AI89" i="1"/>
  <c r="AI88" i="1" s="1"/>
  <c r="AL42" i="1"/>
  <c r="AL41" i="1" s="1"/>
  <c r="AI92" i="1"/>
  <c r="AL44" i="1"/>
  <c r="AL35" i="1"/>
  <c r="AI19" i="1"/>
  <c r="AF17" i="1"/>
  <c r="AI62" i="1"/>
  <c r="AI55" i="1" s="1"/>
  <c r="AC97" i="1"/>
  <c r="AC91" i="1" s="1"/>
  <c r="W99" i="1"/>
  <c r="W101" i="1" s="1"/>
  <c r="AC36" i="1"/>
  <c r="AC34" i="1" s="1"/>
  <c r="AL28" i="1"/>
  <c r="AL27" i="1" s="1"/>
  <c r="AC47" i="1"/>
  <c r="AC43" i="1" s="1"/>
  <c r="AL5" i="1"/>
  <c r="AL4" i="1" s="1"/>
  <c r="S111" i="1"/>
  <c r="S109" i="1"/>
  <c r="V108" i="1"/>
  <c r="AL16" i="1" l="1"/>
  <c r="AL15" i="1" s="1"/>
  <c r="AL40" i="1"/>
  <c r="AL39" i="1" s="1"/>
  <c r="AL89" i="1"/>
  <c r="AL88" i="1" s="1"/>
  <c r="AL92" i="1"/>
  <c r="AL19" i="1"/>
  <c r="AL17" i="1" s="1"/>
  <c r="AI17" i="1"/>
  <c r="AF47" i="1"/>
  <c r="AF43" i="1" s="1"/>
  <c r="AF36" i="1"/>
  <c r="AF34" i="1" s="1"/>
  <c r="Z99" i="1"/>
  <c r="Z101" i="1" s="1"/>
  <c r="AF97" i="1"/>
  <c r="AF91" i="1" s="1"/>
  <c r="AL62" i="1"/>
  <c r="AL55" i="1" s="1"/>
  <c r="V109" i="1"/>
  <c r="Y108" i="1"/>
  <c r="AC99" i="1" l="1"/>
  <c r="AC101" i="1" s="1"/>
  <c r="AI47" i="1"/>
  <c r="AI43" i="1" s="1"/>
  <c r="AI97" i="1"/>
  <c r="AI91" i="1" s="1"/>
  <c r="AI36" i="1"/>
  <c r="AI34" i="1" s="1"/>
  <c r="AF99" i="1"/>
  <c r="AF101" i="1" s="1"/>
  <c r="Y109" i="1"/>
  <c r="AB108" i="1"/>
  <c r="AL97" i="1" l="1"/>
  <c r="AL91" i="1" s="1"/>
  <c r="AL36" i="1"/>
  <c r="AL34" i="1" s="1"/>
  <c r="AI99" i="1"/>
  <c r="AI101" i="1" s="1"/>
  <c r="AL47" i="1"/>
  <c r="AL43" i="1" s="1"/>
  <c r="AB109" i="1"/>
  <c r="AE108" i="1"/>
  <c r="AL99" i="1" l="1"/>
  <c r="AL101" i="1" s="1"/>
  <c r="AE109" i="1"/>
  <c r="AH108" i="1"/>
  <c r="AH109" i="1" l="1"/>
  <c r="AK108" i="1"/>
  <c r="AK109" i="1" s="1"/>
</calcChain>
</file>

<file path=xl/sharedStrings.xml><?xml version="1.0" encoding="utf-8"?>
<sst xmlns="http://schemas.openxmlformats.org/spreadsheetml/2006/main" count="1047" uniqueCount="152">
  <si>
    <t>CATEGORY</t>
  </si>
  <si>
    <t>PROPOSED</t>
  </si>
  <si>
    <t>CONSULTING  (FIXED MONTHLY RETAINER FEES)</t>
  </si>
  <si>
    <t>Creative and Digital Agency</t>
  </si>
  <si>
    <t>PR Agency</t>
  </si>
  <si>
    <t xml:space="preserve">App &amp; Webiste Maintenance </t>
  </si>
  <si>
    <t>CONSULTING (PROJECT BASIS)</t>
  </si>
  <si>
    <t xml:space="preserve">Brochure </t>
  </si>
  <si>
    <t>Walkthrough Film</t>
  </si>
  <si>
    <t xml:space="preserve">Projection Mapping </t>
  </si>
  <si>
    <t xml:space="preserve">JLL Presentation </t>
  </si>
  <si>
    <t>Website and App additional Page Creation</t>
  </si>
  <si>
    <t>Immersive Experience/AI</t>
  </si>
  <si>
    <t>DIGITAL</t>
  </si>
  <si>
    <t>Google, Facebook, Linkedin etc &amp; Content marketing/ROS ON PUBLISHERS PLATFORM</t>
  </si>
  <si>
    <t>PRINT ADVERTISEMENT</t>
  </si>
  <si>
    <t>NOTICE</t>
  </si>
  <si>
    <t>TOI Full Run (NCR) GNP</t>
  </si>
  <si>
    <t>HT Full Run (NCR) GNP</t>
  </si>
  <si>
    <t>ET Panache</t>
  </si>
  <si>
    <t>Vistara</t>
  </si>
  <si>
    <t xml:space="preserve">Indigo  </t>
  </si>
  <si>
    <t xml:space="preserve">Spice jet </t>
  </si>
  <si>
    <t>Emirates /Japanese Inflight</t>
  </si>
  <si>
    <t>DGC Magazine</t>
  </si>
  <si>
    <t>PRINT COLLATERALS</t>
  </si>
  <si>
    <t>Brochure Print ( Club + Phase 2)</t>
  </si>
  <si>
    <t>Corporate Brochure</t>
  </si>
  <si>
    <t>Carry Bag</t>
  </si>
  <si>
    <t>Application Form</t>
  </si>
  <si>
    <t xml:space="preserve">Stationery/Leather folder </t>
  </si>
  <si>
    <t>3 Fold Catalogue</t>
  </si>
  <si>
    <t>OUT OF HOME BRANDING</t>
  </si>
  <si>
    <t>Standees/Canopies</t>
  </si>
  <si>
    <t>Golf Course Branding</t>
  </si>
  <si>
    <t>Airport Branding / Outdoor/ Metro Pillar</t>
  </si>
  <si>
    <t>Flex Printing for Outdoor</t>
  </si>
  <si>
    <t>AWARDS &amp; CERTIFICATION</t>
  </si>
  <si>
    <t xml:space="preserve">Bristish Safety Council/ FICCI </t>
  </si>
  <si>
    <t>SPONSORSHIP</t>
  </si>
  <si>
    <t>Event Sponsorship - India Today Conclave/GOLF PGT</t>
  </si>
  <si>
    <t>SALES LOUNGE BRANDING &amp; SIGNAGES</t>
  </si>
  <si>
    <t xml:space="preserve">Perimeter Branding </t>
  </si>
  <si>
    <t>Sales Lounge Development</t>
  </si>
  <si>
    <t xml:space="preserve">Driveway Flags/ Signage Repair Maintenance  </t>
  </si>
  <si>
    <t>Civil</t>
  </si>
  <si>
    <t>Satin Flags &amp; Flex Change /Unipole/Perimeter</t>
  </si>
  <si>
    <t>Supply &amp; Installation</t>
  </si>
  <si>
    <t>Project Model and its Base</t>
  </si>
  <si>
    <t>Asset</t>
  </si>
  <si>
    <t xml:space="preserve">Model Maintenance                         </t>
  </si>
  <si>
    <t>Material</t>
  </si>
  <si>
    <t>MCG Fees</t>
  </si>
  <si>
    <t xml:space="preserve">PRE-LAUNCH EVENT  </t>
  </si>
  <si>
    <t xml:space="preserve">Décor and furniture </t>
  </si>
  <si>
    <t>Lights &amp; Sounds</t>
  </si>
  <si>
    <t xml:space="preserve">TV Screens </t>
  </si>
  <si>
    <t xml:space="preserve">Celebrity Singer with travel and stay </t>
  </si>
  <si>
    <t xml:space="preserve">Valet Parking </t>
  </si>
  <si>
    <t xml:space="preserve">Certificates </t>
  </si>
  <si>
    <t>Sweets &amp; Giveaways</t>
  </si>
  <si>
    <t xml:space="preserve">Catering </t>
  </si>
  <si>
    <t>Driver's Food</t>
  </si>
  <si>
    <t xml:space="preserve">Mobile Toilet </t>
  </si>
  <si>
    <t>Liquour license and  Liquour for 500 pax</t>
  </si>
  <si>
    <t xml:space="preserve">Bartender </t>
  </si>
  <si>
    <t>LAUNCH EVENT</t>
  </si>
  <si>
    <t>30 Stalls</t>
  </si>
  <si>
    <t>Lights &amp; Sound</t>
  </si>
  <si>
    <t>Valet Parking For 15 days</t>
  </si>
  <si>
    <t xml:space="preserve">Chair / Lounge Sofa </t>
  </si>
  <si>
    <t>TV Screen</t>
  </si>
  <si>
    <t>Buffet for 15 days with MG 300 every day (800 per pax +15,000 transport)</t>
  </si>
  <si>
    <t xml:space="preserve">Water/Soft Drink </t>
  </si>
  <si>
    <t>Tenting and other expenses</t>
  </si>
  <si>
    <t>Gifts for Customers who make an upfront payment of 10% - First 200</t>
  </si>
  <si>
    <t>Photographer &amp; Videographer</t>
  </si>
  <si>
    <t>Rewards for top 15 performers</t>
  </si>
  <si>
    <t>Rewards for next ten performers</t>
  </si>
  <si>
    <t>Giveaways for Channel Partners</t>
  </si>
  <si>
    <t>Framed certificates</t>
  </si>
  <si>
    <t xml:space="preserve">Press Conference for 40 Journalists </t>
  </si>
  <si>
    <t>Gifts for Press Conference</t>
  </si>
  <si>
    <t>INTERNATIONAL TRIP</t>
  </si>
  <si>
    <t xml:space="preserve">Employee &amp; CP Trip </t>
  </si>
  <si>
    <t>CHANNEL PARTNER RETENTION/ CUSTOMER ENGAGEMENT</t>
  </si>
  <si>
    <t xml:space="preserve">Marketing Support </t>
  </si>
  <si>
    <t xml:space="preserve">Diwali Gifts/Corporate </t>
  </si>
  <si>
    <t>BRAND PROMOTIONS &amp; EVENTS</t>
  </si>
  <si>
    <t>Event/Festive Décor including music,tenting etc</t>
  </si>
  <si>
    <t xml:space="preserve">Testimonial/ Still Photography </t>
  </si>
  <si>
    <t>Food and Beverages</t>
  </si>
  <si>
    <t>ITC Gift Cards</t>
  </si>
  <si>
    <t>Liquour license and Liquour</t>
  </si>
  <si>
    <t>Meeting Expenses / Miscellaneous/ Valet Parking</t>
  </si>
  <si>
    <t>Events at various Golf Clubs and other Premium clubs in the city</t>
  </si>
  <si>
    <t>TOTAL EXPENSE (INR) IN LAKHS</t>
  </si>
  <si>
    <t>TOTAL EXPENSE (INR) IN CRORES</t>
  </si>
  <si>
    <t>UNIT SOLD</t>
  </si>
  <si>
    <t xml:space="preserve">SALES VALUE </t>
  </si>
  <si>
    <t>MARKETING EXPENSE PER UNIT</t>
  </si>
  <si>
    <t>%AGE SPENDS</t>
  </si>
  <si>
    <t>CUMULATIVE SALES (IN CRORES)</t>
  </si>
  <si>
    <t>CUMULATIVE MARKETING SPENDS (IN CRORES)</t>
  </si>
  <si>
    <t>CUMULATIVE MARKETING  %age SPENDS</t>
  </si>
  <si>
    <t>In Crores</t>
  </si>
  <si>
    <t>Marketing Expenditure - April'24</t>
  </si>
  <si>
    <t xml:space="preserve">Fixed </t>
  </si>
  <si>
    <t>Marketing Expenditure - May'24</t>
  </si>
  <si>
    <t xml:space="preserve">   WEEK 1 
(Apr 1 -  Apr 7)</t>
  </si>
  <si>
    <t xml:space="preserve">   WEEK 2 
(Apr 8 -  Apr 14)</t>
  </si>
  <si>
    <t xml:space="preserve">   WEEK 3 
(Apr 15 -  Apr 21)</t>
  </si>
  <si>
    <t xml:space="preserve">   WEEK 4 
(Apr 22 -  Apr 28)</t>
  </si>
  <si>
    <t xml:space="preserve">   WEEK 5 
(Apr 29 -  Apr 30)</t>
  </si>
  <si>
    <t>ACTUALS</t>
  </si>
  <si>
    <t>REVISED PROPOSED</t>
  </si>
  <si>
    <t>TOTAL</t>
  </si>
  <si>
    <r>
      <rPr>
        <b/>
        <sz val="11"/>
        <color theme="1"/>
        <rFont val="Aptos Narrow"/>
        <family val="2"/>
        <scheme val="minor"/>
      </rPr>
      <t>Note : 1.</t>
    </r>
    <r>
      <rPr>
        <sz val="11"/>
        <color theme="1"/>
        <rFont val="Aptos Narrow"/>
        <family val="2"/>
        <scheme val="minor"/>
      </rPr>
      <t xml:space="preserve">These expenses are interchangable as per the requirement. </t>
    </r>
  </si>
  <si>
    <r>
      <t xml:space="preserve">               </t>
    </r>
    <r>
      <rPr>
        <b/>
        <sz val="11"/>
        <color theme="1"/>
        <rFont val="Aptos Narrow"/>
        <family val="2"/>
        <scheme val="minor"/>
      </rPr>
      <t>2.</t>
    </r>
    <r>
      <rPr>
        <sz val="11"/>
        <color theme="1"/>
        <rFont val="Aptos Narrow"/>
        <family val="2"/>
        <scheme val="minor"/>
      </rPr>
      <t xml:space="preserve"> We have taken 1024 crore sales in the month of april 24 on the basis that if project is launched on feb end the sales will mature in the month of april 24 i.e Rs.1024 cr sales.</t>
    </r>
  </si>
  <si>
    <t>BALANCE</t>
  </si>
  <si>
    <t xml:space="preserve">   WEEK 1 
(May 1 -  May 5)</t>
  </si>
  <si>
    <t xml:space="preserve">   WEEK 2 
(May 6 -  May 12)</t>
  </si>
  <si>
    <t xml:space="preserve">   WEEK 3 
(May 13 -  May 19)</t>
  </si>
  <si>
    <t xml:space="preserve">   WEEK 4 
(May 20 -  May 26)</t>
  </si>
  <si>
    <t xml:space="preserve">   WEEK 5 
(May 27 -  May 31)</t>
  </si>
  <si>
    <t xml:space="preserve"> MARKETING BUDGET FOR FUTURE PHASE (April 2024 - MARCH 2025)</t>
  </si>
  <si>
    <t xml:space="preserve">   WEEK 1 
(June 1- June 2 )</t>
  </si>
  <si>
    <t xml:space="preserve">   WEEK 2 
(June 3 -  June9)</t>
  </si>
  <si>
    <t xml:space="preserve">   WEEK 4 
(June 17 -  June 23 )</t>
  </si>
  <si>
    <t xml:space="preserve">   WEEK 3 
(June 10 -  June16 )</t>
  </si>
  <si>
    <t xml:space="preserve">   WEEK 5 
(June 24 -  June 30 )</t>
  </si>
  <si>
    <t xml:space="preserve">   WEEK 1 
(July 1 - July 7)</t>
  </si>
  <si>
    <t xml:space="preserve">   WEEK 2 
(July 8 - 14)</t>
  </si>
  <si>
    <t xml:space="preserve">   WEEK 3 
(July 15 - July 21)</t>
  </si>
  <si>
    <t xml:space="preserve">   WEEK 4 
(July 22 - July 28 )</t>
  </si>
  <si>
    <t xml:space="preserve">   WEEK 5 
(July 29 -  July 31)</t>
  </si>
  <si>
    <t xml:space="preserve">   WEEK 1 
(Aug 1 - Aug 4)</t>
  </si>
  <si>
    <t xml:space="preserve">   WEEK 2 
(Aug 5 - Aug 11)</t>
  </si>
  <si>
    <t xml:space="preserve">   WEEK 3 
(Aug 12 - Aug 18)</t>
  </si>
  <si>
    <t xml:space="preserve">   WEEK 4 
(Aug 19 - Aug 25 )</t>
  </si>
  <si>
    <t xml:space="preserve">   WEEK 5 
(Aug 26 -  Aug 31)</t>
  </si>
  <si>
    <t xml:space="preserve">   WEEK 1 
(Sep 1 - Sep 8)</t>
  </si>
  <si>
    <t xml:space="preserve">   WEEK 2 
(Sep 9 - Sep 15)</t>
  </si>
  <si>
    <t xml:space="preserve">   WEEK 3 
(Sep 16 - Sep 22)</t>
  </si>
  <si>
    <t xml:space="preserve">   WEEK 5 
(Sep 30)</t>
  </si>
  <si>
    <t xml:space="preserve">   WEEK 4 
(Sep 23 - Sep 29)</t>
  </si>
  <si>
    <t>Marketing Expenditure - October'24</t>
  </si>
  <si>
    <t xml:space="preserve">   WEEK 1 
(Oct 1 - Oct 6)</t>
  </si>
  <si>
    <t xml:space="preserve">   WEEK 2 
(Oct 7 - Oct 13)</t>
  </si>
  <si>
    <t xml:space="preserve">   WEEK 3 
(Oct 14 - Oct 20)</t>
  </si>
  <si>
    <t xml:space="preserve">   WEEK 4 
(Oct 21 - Oct 27)</t>
  </si>
  <si>
    <t xml:space="preserve">   WEEK 5 
(Oct 28 - Oct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</si>
</sst>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 #,##0_ ;_ * \-#,##0_ ;_ * &quot;-&quot;??_ ;_ @_ "/>
    <numFmt numFmtId="165" formatCode="_(* #,##0_);_(* \(#,##0\);_(* &quot;-&quot;??_);_(@_)"/>
    <numFmt numFmtId="166" formatCode="0.000%"/>
    <numFmt numFmtId="167" formatCode="0.0000000000000000%"/>
  </numFmts>
  <fonts count="16" x14ac:knownFonts="1">
    <font>
      <sz val="12"/>
      <color theme="1"/>
      <name val="Aptos Narrow"/>
      <family val="2"/>
      <scheme val="minor"/>
    </font>
    <font>
      <sz val="11"/>
      <color theme="1"/>
      <name val="Aptos Narrow"/>
      <family val="2"/>
      <scheme val="minor"/>
    </font>
    <font>
      <sz val="11"/>
      <color theme="1"/>
      <name val="Aptos Narrow"/>
      <family val="2"/>
      <scheme val="minor"/>
    </font>
    <font>
      <sz val="12"/>
      <color theme="1"/>
      <name val="Aptos Narrow"/>
      <family val="2"/>
      <scheme val="minor"/>
    </font>
    <font>
      <b/>
      <sz val="12"/>
      <color theme="1"/>
      <name val="Aptos Narrow"/>
      <family val="2"/>
      <scheme val="minor"/>
    </font>
    <font>
      <b/>
      <sz val="16"/>
      <color theme="1"/>
      <name val="Aptos Narrow"/>
      <family val="2"/>
      <scheme val="minor"/>
    </font>
    <font>
      <b/>
      <sz val="11"/>
      <color theme="1"/>
      <name val="Aptos Narrow"/>
      <family val="2"/>
      <scheme val="minor"/>
    </font>
    <font>
      <sz val="11"/>
      <color theme="1"/>
      <name val="Aptos Narrow"/>
      <family val="2"/>
      <scheme val="minor"/>
    </font>
    <font>
      <b/>
      <sz val="11"/>
      <name val="Aptos Narrow"/>
      <family val="2"/>
      <scheme val="minor"/>
    </font>
    <font>
      <sz val="11"/>
      <name val="Aptos Narrow"/>
      <family val="2"/>
      <scheme val="minor"/>
    </font>
    <font>
      <b/>
      <sz val="11"/>
      <color theme="4"/>
      <name val="Aptos Narrow"/>
      <family val="2"/>
      <scheme val="minor"/>
    </font>
    <font>
      <sz val="12"/>
      <color rgb="FF1D1F32"/>
      <name val="Arial"/>
      <family val="2"/>
    </font>
    <font>
      <b/>
      <sz val="22"/>
      <color theme="1"/>
      <name val="Aptos Narrow"/>
      <family val="2"/>
      <scheme val="minor"/>
    </font>
    <font>
      <sz val="11"/>
      <name val="Calibri"/>
      <family val="2"/>
    </font>
    <font>
      <sz val="11"/>
      <color rgb="FF000000"/>
      <name val="Aptos Narrow"/>
      <family val="2"/>
      <scheme val="minor"/>
    </font>
    <font>
      <sz val="11"/>
      <color rgb="FF1D1F32"/>
      <name val="Aptos Narrow"/>
      <scheme val="minor"/>
    </font>
  </fonts>
  <fills count="8">
    <fill>
      <patternFill patternType="none"/>
    </fill>
    <fill>
      <patternFill patternType="gray125"/>
    </fill>
    <fill>
      <patternFill patternType="solid">
        <fgColor theme="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bgColor indexed="64"/>
      </patternFill>
    </fill>
    <fill>
      <patternFill patternType="solid">
        <fgColor rgb="FFF4AC80"/>
        <bgColor indexed="64"/>
      </patternFill>
    </fill>
    <fill>
      <patternFill patternType="solid">
        <fgColor theme="3" tint="0.89999084444715716"/>
        <bgColor indexed="64"/>
      </patternFill>
    </fill>
  </fills>
  <borders count="30">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bottom style="hair">
        <color indexed="64"/>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13" fillId="0" borderId="0"/>
  </cellStyleXfs>
  <cellXfs count="178">
    <xf numFmtId="0" fontId="0" fillId="0" borderId="0" xfId="0"/>
    <xf numFmtId="164" fontId="0" fillId="0" borderId="0" xfId="0" applyNumberFormat="1"/>
    <xf numFmtId="0" fontId="6" fillId="0" borderId="0" xfId="0" applyFont="1"/>
    <xf numFmtId="164" fontId="6" fillId="6" borderId="2" xfId="0" applyNumberFormat="1" applyFont="1" applyFill="1" applyBorder="1"/>
    <xf numFmtId="0" fontId="0" fillId="0" borderId="0" xfId="0" applyAlignment="1">
      <alignment vertical="center"/>
    </xf>
    <xf numFmtId="9" fontId="0" fillId="0" borderId="0" xfId="2" applyFont="1"/>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xf>
    <xf numFmtId="0" fontId="6" fillId="0" borderId="3" xfId="0" applyFont="1" applyBorder="1" applyAlignment="1">
      <alignment vertical="center"/>
    </xf>
    <xf numFmtId="17" fontId="6" fillId="0" borderId="3" xfId="0" applyNumberFormat="1" applyFont="1" applyBorder="1" applyAlignment="1">
      <alignment vertical="center"/>
    </xf>
    <xf numFmtId="164" fontId="6" fillId="4" borderId="3" xfId="1" applyNumberFormat="1" applyFont="1" applyFill="1" applyBorder="1" applyAlignment="1">
      <alignment vertical="center"/>
    </xf>
    <xf numFmtId="164" fontId="6" fillId="0" borderId="3" xfId="1" applyNumberFormat="1" applyFont="1" applyBorder="1" applyAlignment="1">
      <alignment vertical="center"/>
    </xf>
    <xf numFmtId="164" fontId="0" fillId="0" borderId="3" xfId="1" applyNumberFormat="1" applyFont="1" applyBorder="1" applyAlignment="1">
      <alignment vertical="center"/>
    </xf>
    <xf numFmtId="164" fontId="0" fillId="0" borderId="3" xfId="1" applyNumberFormat="1" applyFont="1" applyFill="1" applyBorder="1" applyAlignment="1">
      <alignment vertical="center"/>
    </xf>
    <xf numFmtId="164" fontId="7" fillId="5" borderId="3" xfId="1" applyNumberFormat="1" applyFont="1" applyFill="1" applyBorder="1" applyAlignment="1">
      <alignment vertical="center"/>
    </xf>
    <xf numFmtId="164" fontId="0" fillId="0" borderId="3" xfId="0" applyNumberFormat="1" applyBorder="1"/>
    <xf numFmtId="164" fontId="0" fillId="0" borderId="3" xfId="2" applyNumberFormat="1" applyFont="1" applyBorder="1"/>
    <xf numFmtId="165" fontId="0" fillId="0" borderId="3" xfId="1" applyNumberFormat="1" applyFont="1" applyBorder="1"/>
    <xf numFmtId="164" fontId="0" fillId="5" borderId="3" xfId="0" applyNumberFormat="1" applyFill="1" applyBorder="1" applyAlignment="1">
      <alignment vertical="center"/>
    </xf>
    <xf numFmtId="164" fontId="0" fillId="5" borderId="3" xfId="1" applyNumberFormat="1" applyFont="1" applyFill="1" applyBorder="1" applyAlignment="1">
      <alignment vertical="center"/>
    </xf>
    <xf numFmtId="0" fontId="0" fillId="0" borderId="3" xfId="0" applyBorder="1"/>
    <xf numFmtId="164" fontId="6" fillId="5" borderId="3" xfId="1" applyNumberFormat="1" applyFont="1" applyFill="1" applyBorder="1" applyAlignment="1">
      <alignment vertical="center"/>
    </xf>
    <xf numFmtId="9" fontId="0" fillId="5" borderId="3" xfId="2" applyFont="1" applyFill="1" applyBorder="1"/>
    <xf numFmtId="164" fontId="0" fillId="5" borderId="3" xfId="1" applyNumberFormat="1" applyFont="1" applyFill="1" applyBorder="1"/>
    <xf numFmtId="3" fontId="0" fillId="5" borderId="3" xfId="1" applyNumberFormat="1" applyFont="1" applyFill="1" applyBorder="1" applyAlignment="1">
      <alignment vertical="center"/>
    </xf>
    <xf numFmtId="164" fontId="0" fillId="0" borderId="3" xfId="1" applyNumberFormat="1" applyFont="1" applyBorder="1"/>
    <xf numFmtId="0" fontId="4" fillId="3" borderId="6" xfId="0" applyFont="1" applyFill="1" applyBorder="1" applyAlignment="1">
      <alignment vertical="center" wrapText="1"/>
    </xf>
    <xf numFmtId="0" fontId="6" fillId="0" borderId="6" xfId="0" applyFont="1" applyBorder="1" applyAlignment="1">
      <alignment vertical="center"/>
    </xf>
    <xf numFmtId="0" fontId="6" fillId="4" borderId="6" xfId="0" applyFont="1" applyFill="1" applyBorder="1" applyAlignment="1">
      <alignment vertical="center"/>
    </xf>
    <xf numFmtId="0" fontId="6" fillId="0" borderId="6" xfId="0" applyFont="1" applyBorder="1"/>
    <xf numFmtId="0" fontId="6" fillId="5" borderId="6" xfId="0" applyFont="1" applyFill="1" applyBorder="1" applyAlignment="1">
      <alignment vertical="center"/>
    </xf>
    <xf numFmtId="0" fontId="6" fillId="4" borderId="6" xfId="0" applyFont="1" applyFill="1" applyBorder="1"/>
    <xf numFmtId="43" fontId="6" fillId="6" borderId="7" xfId="1" applyFont="1" applyFill="1" applyBorder="1" applyAlignment="1">
      <alignment vertical="center"/>
    </xf>
    <xf numFmtId="43" fontId="6" fillId="6" borderId="8" xfId="1" applyFont="1" applyFill="1" applyBorder="1" applyAlignment="1">
      <alignment vertical="center"/>
    </xf>
    <xf numFmtId="164" fontId="6" fillId="6" borderId="8" xfId="0" applyNumberFormat="1" applyFont="1" applyFill="1" applyBorder="1"/>
    <xf numFmtId="0" fontId="6" fillId="3" borderId="3" xfId="0" applyFont="1" applyFill="1" applyBorder="1" applyAlignment="1">
      <alignment horizontal="center" wrapText="1"/>
    </xf>
    <xf numFmtId="0" fontId="6" fillId="3" borderId="3" xfId="0" applyFont="1" applyFill="1" applyBorder="1" applyAlignment="1">
      <alignment horizontal="center" vertical="center" wrapText="1"/>
    </xf>
    <xf numFmtId="0" fontId="6" fillId="0" borderId="9" xfId="0" applyFont="1" applyBorder="1" applyAlignment="1">
      <alignment vertical="center"/>
    </xf>
    <xf numFmtId="0" fontId="6" fillId="4" borderId="9" xfId="0" applyFont="1" applyFill="1" applyBorder="1" applyAlignment="1">
      <alignment vertical="center"/>
    </xf>
    <xf numFmtId="164" fontId="6" fillId="4" borderId="9" xfId="1" applyNumberFormat="1" applyFont="1" applyFill="1" applyBorder="1" applyAlignment="1">
      <alignment vertical="center"/>
    </xf>
    <xf numFmtId="164" fontId="6" fillId="0" borderId="9" xfId="1" applyNumberFormat="1" applyFont="1" applyBorder="1" applyAlignment="1">
      <alignment vertical="center"/>
    </xf>
    <xf numFmtId="0" fontId="6" fillId="0" borderId="9" xfId="0" applyFont="1" applyBorder="1"/>
    <xf numFmtId="0" fontId="6" fillId="5" borderId="9" xfId="0" applyFont="1" applyFill="1" applyBorder="1" applyAlignment="1">
      <alignment vertical="center"/>
    </xf>
    <xf numFmtId="164" fontId="6" fillId="4" borderId="9" xfId="2" applyNumberFormat="1" applyFont="1" applyFill="1" applyBorder="1"/>
    <xf numFmtId="164" fontId="6" fillId="5" borderId="9" xfId="1" applyNumberFormat="1" applyFont="1" applyFill="1" applyBorder="1" applyAlignment="1">
      <alignment vertical="center"/>
    </xf>
    <xf numFmtId="0" fontId="6" fillId="4" borderId="9" xfId="0" applyFont="1" applyFill="1" applyBorder="1"/>
    <xf numFmtId="0" fontId="8" fillId="6" borderId="9" xfId="0" applyFont="1" applyFill="1" applyBorder="1" applyAlignment="1">
      <alignment vertical="center"/>
    </xf>
    <xf numFmtId="0" fontId="9" fillId="6" borderId="9" xfId="0" applyFont="1" applyFill="1" applyBorder="1" applyAlignment="1">
      <alignment vertical="center"/>
    </xf>
    <xf numFmtId="166" fontId="10" fillId="0" borderId="9" xfId="2" applyNumberFormat="1" applyFont="1" applyBorder="1" applyAlignment="1">
      <alignment vertical="center"/>
    </xf>
    <xf numFmtId="10" fontId="10" fillId="0" borderId="9" xfId="2" applyNumberFormat="1" applyFont="1" applyBorder="1"/>
    <xf numFmtId="0" fontId="0" fillId="0" borderId="0" xfId="0" applyAlignment="1">
      <alignment horizontal="center"/>
    </xf>
    <xf numFmtId="164" fontId="6" fillId="4" borderId="13" xfId="1" applyNumberFormat="1" applyFont="1" applyFill="1" applyBorder="1" applyAlignment="1">
      <alignment vertical="center"/>
    </xf>
    <xf numFmtId="164" fontId="6" fillId="4" borderId="13" xfId="2" applyNumberFormat="1" applyFont="1" applyFill="1" applyBorder="1"/>
    <xf numFmtId="0" fontId="6" fillId="4" borderId="13" xfId="0" applyFont="1" applyFill="1" applyBorder="1"/>
    <xf numFmtId="164" fontId="6" fillId="4" borderId="13" xfId="0" applyNumberFormat="1" applyFont="1" applyFill="1" applyBorder="1"/>
    <xf numFmtId="164" fontId="6" fillId="4" borderId="14" xfId="1" applyNumberFormat="1" applyFont="1" applyFill="1" applyBorder="1" applyAlignment="1">
      <alignment vertical="center"/>
    </xf>
    <xf numFmtId="164" fontId="6" fillId="4" borderId="14" xfId="2" applyNumberFormat="1" applyFont="1" applyFill="1" applyBorder="1"/>
    <xf numFmtId="0" fontId="6" fillId="4" borderId="14" xfId="0" applyFont="1" applyFill="1" applyBorder="1"/>
    <xf numFmtId="164" fontId="6" fillId="4" borderId="14" xfId="0" applyNumberFormat="1" applyFont="1" applyFill="1" applyBorder="1"/>
    <xf numFmtId="0" fontId="6" fillId="5" borderId="15" xfId="0" applyFont="1" applyFill="1" applyBorder="1" applyAlignment="1">
      <alignment vertical="center"/>
    </xf>
    <xf numFmtId="164" fontId="6" fillId="5" borderId="15" xfId="1" applyNumberFormat="1" applyFont="1" applyFill="1" applyBorder="1" applyAlignment="1">
      <alignment vertical="center"/>
    </xf>
    <xf numFmtId="43" fontId="6" fillId="0" borderId="12" xfId="1" applyFont="1" applyFill="1" applyBorder="1" applyAlignment="1">
      <alignment vertical="center"/>
    </xf>
    <xf numFmtId="9" fontId="6" fillId="0" borderId="12" xfId="2" applyFont="1" applyFill="1" applyBorder="1" applyAlignment="1">
      <alignment vertical="center"/>
    </xf>
    <xf numFmtId="43" fontId="6" fillId="6" borderId="19" xfId="1" applyFont="1" applyFill="1" applyBorder="1" applyAlignment="1">
      <alignment vertical="center"/>
    </xf>
    <xf numFmtId="43" fontId="6" fillId="6" borderId="20" xfId="1" applyFont="1" applyFill="1" applyBorder="1" applyAlignment="1">
      <alignment vertical="center"/>
    </xf>
    <xf numFmtId="164" fontId="6" fillId="6" borderId="20" xfId="0" applyNumberFormat="1" applyFont="1" applyFill="1" applyBorder="1"/>
    <xf numFmtId="164" fontId="6" fillId="6" borderId="21" xfId="0" applyNumberFormat="1" applyFont="1" applyFill="1" applyBorder="1"/>
    <xf numFmtId="0" fontId="6" fillId="2" borderId="0" xfId="0" applyFont="1" applyFill="1" applyAlignment="1">
      <alignment horizontal="left" vertical="center"/>
    </xf>
    <xf numFmtId="164" fontId="2" fillId="0" borderId="9" xfId="1" applyNumberFormat="1" applyFont="1" applyBorder="1" applyAlignment="1">
      <alignment vertical="center"/>
    </xf>
    <xf numFmtId="164" fontId="2" fillId="0" borderId="11" xfId="1" applyNumberFormat="1" applyFont="1" applyBorder="1" applyAlignment="1">
      <alignment vertical="center"/>
    </xf>
    <xf numFmtId="164" fontId="2" fillId="0" borderId="13" xfId="1" applyNumberFormat="1" applyFont="1" applyBorder="1" applyAlignment="1">
      <alignment vertical="center"/>
    </xf>
    <xf numFmtId="164" fontId="2" fillId="0" borderId="14" xfId="1" applyNumberFormat="1" applyFont="1" applyBorder="1" applyAlignment="1">
      <alignment vertical="center"/>
    </xf>
    <xf numFmtId="164" fontId="2" fillId="0" borderId="9" xfId="1" applyNumberFormat="1" applyFont="1" applyFill="1" applyBorder="1" applyAlignment="1">
      <alignment vertical="center"/>
    </xf>
    <xf numFmtId="164" fontId="2" fillId="0" borderId="11" xfId="1" applyNumberFormat="1" applyFont="1" applyFill="1" applyBorder="1" applyAlignment="1">
      <alignment vertical="center"/>
    </xf>
    <xf numFmtId="164" fontId="2" fillId="0" borderId="13" xfId="1" applyNumberFormat="1" applyFont="1" applyFill="1" applyBorder="1" applyAlignment="1">
      <alignment vertical="center"/>
    </xf>
    <xf numFmtId="164" fontId="2" fillId="0" borderId="14" xfId="1" applyNumberFormat="1" applyFont="1" applyFill="1" applyBorder="1" applyAlignment="1">
      <alignment vertical="center"/>
    </xf>
    <xf numFmtId="164" fontId="2" fillId="5" borderId="9" xfId="1" applyNumberFormat="1" applyFont="1" applyFill="1" applyBorder="1" applyAlignment="1">
      <alignment vertical="center"/>
    </xf>
    <xf numFmtId="164" fontId="2" fillId="5" borderId="11" xfId="1" applyNumberFormat="1" applyFont="1" applyFill="1" applyBorder="1" applyAlignment="1">
      <alignment vertical="center"/>
    </xf>
    <xf numFmtId="164" fontId="2" fillId="5" borderId="13" xfId="1" applyNumberFormat="1" applyFont="1" applyFill="1" applyBorder="1" applyAlignment="1">
      <alignment vertical="center"/>
    </xf>
    <xf numFmtId="164" fontId="2" fillId="5" borderId="14" xfId="1" applyNumberFormat="1" applyFont="1" applyFill="1" applyBorder="1" applyAlignment="1">
      <alignment vertical="center"/>
    </xf>
    <xf numFmtId="164" fontId="2" fillId="0" borderId="9" xfId="0" applyNumberFormat="1" applyFont="1" applyBorder="1"/>
    <xf numFmtId="164" fontId="2" fillId="0" borderId="9" xfId="2" applyNumberFormat="1" applyFont="1" applyBorder="1"/>
    <xf numFmtId="165" fontId="2" fillId="0" borderId="9" xfId="1" applyNumberFormat="1" applyFont="1" applyBorder="1"/>
    <xf numFmtId="164" fontId="2" fillId="5" borderId="9" xfId="0" applyNumberFormat="1" applyFont="1" applyFill="1" applyBorder="1" applyAlignment="1">
      <alignment vertical="center"/>
    </xf>
    <xf numFmtId="0" fontId="2" fillId="0" borderId="9" xfId="0" applyFont="1" applyBorder="1"/>
    <xf numFmtId="0" fontId="2" fillId="0" borderId="11" xfId="0" applyFont="1" applyBorder="1"/>
    <xf numFmtId="0" fontId="2" fillId="0" borderId="13" xfId="0" applyFont="1" applyBorder="1"/>
    <xf numFmtId="0" fontId="2" fillId="0" borderId="14" xfId="0" applyFont="1" applyBorder="1"/>
    <xf numFmtId="164" fontId="2" fillId="0" borderId="11" xfId="0" applyNumberFormat="1" applyFont="1" applyBorder="1"/>
    <xf numFmtId="164" fontId="2" fillId="0" borderId="13" xfId="0" applyNumberFormat="1" applyFont="1" applyBorder="1"/>
    <xf numFmtId="164" fontId="2" fillId="0" borderId="14" xfId="0" applyNumberFormat="1" applyFont="1" applyBorder="1"/>
    <xf numFmtId="164" fontId="2" fillId="0" borderId="11" xfId="2" applyNumberFormat="1" applyFont="1" applyBorder="1"/>
    <xf numFmtId="164" fontId="2" fillId="0" borderId="13" xfId="2" applyNumberFormat="1" applyFont="1" applyBorder="1"/>
    <xf numFmtId="164" fontId="2" fillId="0" borderId="14" xfId="2" applyNumberFormat="1" applyFont="1" applyBorder="1"/>
    <xf numFmtId="164" fontId="2" fillId="5" borderId="11" xfId="0" applyNumberFormat="1" applyFont="1" applyFill="1" applyBorder="1" applyAlignment="1">
      <alignment vertical="center"/>
    </xf>
    <xf numFmtId="164" fontId="2" fillId="5" borderId="13" xfId="0" applyNumberFormat="1" applyFont="1" applyFill="1" applyBorder="1" applyAlignment="1">
      <alignment vertical="center"/>
    </xf>
    <xf numFmtId="164" fontId="2" fillId="5" borderId="14" xfId="0" applyNumberFormat="1" applyFont="1" applyFill="1" applyBorder="1" applyAlignment="1">
      <alignment vertical="center"/>
    </xf>
    <xf numFmtId="164" fontId="2" fillId="4" borderId="13" xfId="2" applyNumberFormat="1" applyFont="1" applyFill="1" applyBorder="1"/>
    <xf numFmtId="164" fontId="2" fillId="4" borderId="14" xfId="2" applyNumberFormat="1" applyFont="1" applyFill="1" applyBorder="1"/>
    <xf numFmtId="9" fontId="2" fillId="5" borderId="9" xfId="2" applyFont="1" applyFill="1" applyBorder="1"/>
    <xf numFmtId="164" fontId="2" fillId="5" borderId="9" xfId="1" applyNumberFormat="1" applyFont="1" applyFill="1" applyBorder="1"/>
    <xf numFmtId="164" fontId="2" fillId="5" borderId="11" xfId="1" applyNumberFormat="1" applyFont="1" applyFill="1" applyBorder="1"/>
    <xf numFmtId="164" fontId="2" fillId="5" borderId="13" xfId="1" applyNumberFormat="1" applyFont="1" applyFill="1" applyBorder="1"/>
    <xf numFmtId="164" fontId="2" fillId="5" borderId="14" xfId="1" applyNumberFormat="1" applyFont="1" applyFill="1" applyBorder="1"/>
    <xf numFmtId="164" fontId="2" fillId="4" borderId="13" xfId="1" applyNumberFormat="1" applyFont="1" applyFill="1" applyBorder="1" applyAlignment="1">
      <alignment vertical="center"/>
    </xf>
    <xf numFmtId="164" fontId="2" fillId="4" borderId="14" xfId="1" applyNumberFormat="1" applyFont="1" applyFill="1" applyBorder="1" applyAlignment="1">
      <alignment vertical="center"/>
    </xf>
    <xf numFmtId="3" fontId="2" fillId="5" borderId="9" xfId="1" applyNumberFormat="1" applyFont="1" applyFill="1" applyBorder="1" applyAlignment="1">
      <alignment vertical="center"/>
    </xf>
    <xf numFmtId="164" fontId="2" fillId="0" borderId="9" xfId="1" applyNumberFormat="1" applyFont="1" applyBorder="1"/>
    <xf numFmtId="164" fontId="2" fillId="0" borderId="11" xfId="1" applyNumberFormat="1" applyFont="1" applyBorder="1"/>
    <xf numFmtId="164" fontId="2" fillId="0" borderId="13" xfId="1" applyNumberFormat="1" applyFont="1" applyBorder="1"/>
    <xf numFmtId="164" fontId="2" fillId="0" borderId="14" xfId="1" applyNumberFormat="1" applyFont="1" applyBorder="1"/>
    <xf numFmtId="164" fontId="2" fillId="5" borderId="15" xfId="1" applyNumberFormat="1" applyFont="1" applyFill="1" applyBorder="1"/>
    <xf numFmtId="164" fontId="2" fillId="0" borderId="15" xfId="1" applyNumberFormat="1" applyFont="1" applyBorder="1" applyAlignment="1">
      <alignment vertical="center"/>
    </xf>
    <xf numFmtId="164" fontId="2" fillId="5" borderId="16" xfId="1" applyNumberFormat="1" applyFont="1" applyFill="1" applyBorder="1"/>
    <xf numFmtId="164" fontId="2" fillId="5" borderId="17" xfId="1" applyNumberFormat="1" applyFont="1" applyFill="1" applyBorder="1"/>
    <xf numFmtId="164" fontId="2" fillId="5" borderId="18" xfId="1" applyNumberFormat="1" applyFont="1" applyFill="1" applyBorder="1"/>
    <xf numFmtId="0" fontId="2" fillId="0" borderId="12" xfId="0" applyFont="1" applyBorder="1"/>
    <xf numFmtId="0" fontId="2" fillId="0" borderId="9" xfId="0" applyFont="1" applyBorder="1" applyAlignment="1">
      <alignment vertical="center"/>
    </xf>
    <xf numFmtId="1" fontId="2" fillId="0" borderId="9" xfId="2" applyNumberFormat="1" applyFont="1" applyBorder="1"/>
    <xf numFmtId="2" fontId="2" fillId="5" borderId="9" xfId="0" applyNumberFormat="1" applyFont="1" applyFill="1" applyBorder="1"/>
    <xf numFmtId="43" fontId="2" fillId="0" borderId="9" xfId="1" applyFont="1" applyBorder="1"/>
    <xf numFmtId="9" fontId="2" fillId="0" borderId="9" xfId="2" applyFont="1" applyBorder="1"/>
    <xf numFmtId="2" fontId="2" fillId="0" borderId="9" xfId="2" applyNumberFormat="1" applyFont="1" applyBorder="1"/>
    <xf numFmtId="0" fontId="2" fillId="0" borderId="0" xfId="0" applyFont="1" applyAlignment="1">
      <alignment horizontal="right" vertical="center"/>
    </xf>
    <xf numFmtId="2" fontId="2" fillId="0" borderId="0" xfId="2" applyNumberFormat="1" applyFont="1"/>
    <xf numFmtId="0" fontId="2" fillId="0" borderId="0" xfId="0" applyFont="1" applyAlignment="1">
      <alignment vertical="center"/>
    </xf>
    <xf numFmtId="9" fontId="2" fillId="0" borderId="0" xfId="2" applyFont="1"/>
    <xf numFmtId="0" fontId="2" fillId="0" borderId="0" xfId="0" applyFont="1"/>
    <xf numFmtId="0" fontId="2" fillId="0" borderId="0" xfId="0" applyFont="1" applyAlignment="1">
      <alignment horizontal="left" vertical="center"/>
    </xf>
    <xf numFmtId="167" fontId="2" fillId="0" borderId="0" xfId="0" applyNumberFormat="1" applyFont="1"/>
    <xf numFmtId="0" fontId="6" fillId="3" borderId="22" xfId="0" applyFont="1" applyFill="1" applyBorder="1" applyAlignment="1">
      <alignment horizontal="center" vertical="center" wrapText="1"/>
    </xf>
    <xf numFmtId="17" fontId="6" fillId="0" borderId="22" xfId="0" applyNumberFormat="1" applyFont="1" applyBorder="1" applyAlignment="1">
      <alignment vertical="center"/>
    </xf>
    <xf numFmtId="164" fontId="6" fillId="4" borderId="22" xfId="1" applyNumberFormat="1" applyFont="1" applyFill="1" applyBorder="1" applyAlignment="1">
      <alignment vertical="center"/>
    </xf>
    <xf numFmtId="164" fontId="0" fillId="0" borderId="22" xfId="1" applyNumberFormat="1" applyFont="1" applyBorder="1" applyAlignment="1">
      <alignment vertical="center"/>
    </xf>
    <xf numFmtId="164" fontId="0" fillId="0" borderId="22" xfId="1" applyNumberFormat="1" applyFont="1" applyFill="1" applyBorder="1" applyAlignment="1">
      <alignment vertical="center"/>
    </xf>
    <xf numFmtId="164" fontId="7" fillId="5" borderId="22" xfId="1" applyNumberFormat="1" applyFont="1" applyFill="1" applyBorder="1" applyAlignment="1">
      <alignment vertical="center"/>
    </xf>
    <xf numFmtId="164" fontId="0" fillId="5" borderId="22" xfId="1" applyNumberFormat="1" applyFont="1" applyFill="1" applyBorder="1" applyAlignment="1">
      <alignment vertical="center"/>
    </xf>
    <xf numFmtId="164" fontId="0" fillId="0" borderId="22" xfId="0" applyNumberFormat="1" applyBorder="1"/>
    <xf numFmtId="164" fontId="0" fillId="0" borderId="22" xfId="2" applyNumberFormat="1" applyFont="1" applyBorder="1"/>
    <xf numFmtId="164" fontId="0" fillId="5" borderId="22" xfId="0" applyNumberFormat="1" applyFill="1" applyBorder="1" applyAlignment="1">
      <alignment vertical="center"/>
    </xf>
    <xf numFmtId="164" fontId="0" fillId="5" borderId="22" xfId="1" applyNumberFormat="1" applyFont="1" applyFill="1" applyBorder="1"/>
    <xf numFmtId="164" fontId="0" fillId="0" borderId="22" xfId="1" applyNumberFormat="1" applyFont="1" applyBorder="1"/>
    <xf numFmtId="164" fontId="6" fillId="6" borderId="23" xfId="0" applyNumberFormat="1" applyFont="1" applyFill="1" applyBorder="1"/>
    <xf numFmtId="0" fontId="6" fillId="3" borderId="24" xfId="0" applyFont="1" applyFill="1" applyBorder="1" applyAlignment="1">
      <alignment horizontal="center" vertical="center" wrapText="1"/>
    </xf>
    <xf numFmtId="17" fontId="6" fillId="0" borderId="25" xfId="0" applyNumberFormat="1" applyFont="1" applyBorder="1" applyAlignment="1">
      <alignment vertical="center"/>
    </xf>
    <xf numFmtId="164" fontId="6" fillId="4" borderId="25" xfId="1" applyNumberFormat="1" applyFont="1" applyFill="1" applyBorder="1" applyAlignment="1">
      <alignment vertical="center"/>
    </xf>
    <xf numFmtId="164" fontId="0" fillId="0" borderId="25" xfId="1" applyNumberFormat="1" applyFont="1" applyFill="1" applyBorder="1" applyAlignment="1">
      <alignment vertical="center"/>
    </xf>
    <xf numFmtId="164" fontId="7" fillId="5" borderId="25" xfId="1" applyNumberFormat="1" applyFont="1" applyFill="1" applyBorder="1" applyAlignment="1">
      <alignment vertical="center"/>
    </xf>
    <xf numFmtId="164" fontId="0" fillId="5" borderId="25" xfId="1" applyNumberFormat="1" applyFont="1" applyFill="1" applyBorder="1" applyAlignment="1">
      <alignment vertical="center"/>
    </xf>
    <xf numFmtId="164" fontId="0" fillId="0" borderId="25" xfId="0" applyNumberFormat="1" applyBorder="1"/>
    <xf numFmtId="164" fontId="0" fillId="0" borderId="25" xfId="2" applyNumberFormat="1" applyFont="1" applyBorder="1"/>
    <xf numFmtId="164" fontId="0" fillId="5" borderId="25" xfId="0" applyNumberFormat="1" applyFill="1" applyBorder="1" applyAlignment="1">
      <alignment vertical="center"/>
    </xf>
    <xf numFmtId="164" fontId="0" fillId="5" borderId="25" xfId="1" applyNumberFormat="1" applyFont="1" applyFill="1" applyBorder="1"/>
    <xf numFmtId="164" fontId="0" fillId="0" borderId="25" xfId="1" applyNumberFormat="1" applyFont="1" applyBorder="1"/>
    <xf numFmtId="164" fontId="6" fillId="6" borderId="26" xfId="0" applyNumberFormat="1" applyFont="1" applyFill="1" applyBorder="1"/>
    <xf numFmtId="0" fontId="5" fillId="2" borderId="4" xfId="0" applyFont="1" applyFill="1" applyBorder="1" applyAlignment="1">
      <alignment vertical="center"/>
    </xf>
    <xf numFmtId="0" fontId="5" fillId="2" borderId="5" xfId="0" applyFont="1" applyFill="1" applyBorder="1" applyAlignment="1">
      <alignment vertical="center"/>
    </xf>
    <xf numFmtId="0" fontId="6" fillId="0" borderId="12" xfId="0" applyFont="1" applyBorder="1" applyAlignment="1">
      <alignment horizontal="center" vertical="center"/>
    </xf>
    <xf numFmtId="17" fontId="6" fillId="0" borderId="12" xfId="0" applyNumberFormat="1" applyFont="1" applyBorder="1" applyAlignment="1">
      <alignment horizontal="center" vertical="center"/>
    </xf>
    <xf numFmtId="17" fontId="6" fillId="0" borderId="27" xfId="0" applyNumberFormat="1" applyFont="1" applyBorder="1" applyAlignment="1">
      <alignment horizontal="center" vertical="center"/>
    </xf>
    <xf numFmtId="17" fontId="6" fillId="0" borderId="28" xfId="0" applyNumberFormat="1" applyFont="1" applyBorder="1" applyAlignment="1">
      <alignment horizontal="center" vertical="center"/>
    </xf>
    <xf numFmtId="17" fontId="6" fillId="0" borderId="29" xfId="0" applyNumberFormat="1" applyFont="1" applyBorder="1" applyAlignment="1">
      <alignment horizontal="center" vertical="center"/>
    </xf>
    <xf numFmtId="0" fontId="6" fillId="7" borderId="19" xfId="0" applyFont="1" applyFill="1" applyBorder="1" applyAlignment="1">
      <alignment vertical="center" wrapText="1"/>
    </xf>
    <xf numFmtId="0" fontId="6" fillId="7" borderId="20" xfId="0" applyFont="1" applyFill="1" applyBorder="1" applyAlignment="1">
      <alignment horizontal="center" vertical="center" wrapText="1"/>
    </xf>
    <xf numFmtId="0" fontId="6" fillId="7" borderId="20" xfId="0" applyFont="1" applyFill="1" applyBorder="1" applyAlignment="1">
      <alignment horizontal="center" vertical="center"/>
    </xf>
    <xf numFmtId="0" fontId="6" fillId="7" borderId="21"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2" fontId="8" fillId="6" borderId="9" xfId="2" applyNumberFormat="1" applyFont="1" applyFill="1" applyBorder="1" applyAlignment="1">
      <alignment vertical="center"/>
    </xf>
    <xf numFmtId="164" fontId="2" fillId="5" borderId="3" xfId="1" applyNumberFormat="1" applyFont="1" applyFill="1" applyBorder="1" applyAlignment="1">
      <alignment vertical="center"/>
    </xf>
    <xf numFmtId="4" fontId="11" fillId="0" borderId="0" xfId="0" applyNumberFormat="1" applyFont="1"/>
    <xf numFmtId="0" fontId="12" fillId="2" borderId="10" xfId="0" applyFont="1" applyFill="1" applyBorder="1" applyAlignment="1">
      <alignment horizontal="left" vertical="center"/>
    </xf>
    <xf numFmtId="4" fontId="13" fillId="0" borderId="0" xfId="3" applyNumberFormat="1"/>
    <xf numFmtId="4" fontId="11" fillId="0" borderId="3" xfId="0" applyNumberFormat="1" applyFont="1" applyBorder="1"/>
    <xf numFmtId="4" fontId="13" fillId="0" borderId="3" xfId="3" applyNumberFormat="1" applyBorder="1"/>
    <xf numFmtId="164" fontId="14" fillId="0" borderId="9" xfId="0" applyNumberFormat="1" applyFont="1" applyBorder="1" applyAlignment="1">
      <alignment vertical="center"/>
    </xf>
    <xf numFmtId="4" fontId="15" fillId="0" borderId="0" xfId="0" applyNumberFormat="1" applyFont="1"/>
    <xf numFmtId="0" fontId="2" fillId="0" borderId="0" xfId="0" applyFont="1" applyAlignment="1">
      <alignment horizontal="left" vertical="center"/>
    </xf>
  </cellXfs>
  <cellStyles count="4">
    <cellStyle name="Comma" xfId="1" builtinId="3"/>
    <cellStyle name="Normal" xfId="0" builtinId="0"/>
    <cellStyle name="Normal 2" xfId="3" xr:uid="{3AA30E13-7EDA-FA4E-9958-0075139AFB8E}"/>
    <cellStyle name="Per 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04CD5-A5E8-C346-8BDF-BDCA56BEA513}">
  <dimension ref="A1:AQ116"/>
  <sheetViews>
    <sheetView topLeftCell="A72" zoomScale="89" zoomScaleNormal="81" workbookViewId="0">
      <selection activeCell="I17" sqref="I17"/>
    </sheetView>
  </sheetViews>
  <sheetFormatPr baseColWidth="10" defaultColWidth="8.83203125" defaultRowHeight="16" x14ac:dyDescent="0.2"/>
  <cols>
    <col min="1" max="1" width="69.6640625" style="125" bestFit="1" customWidth="1"/>
    <col min="2" max="2" width="24.6640625" style="125" hidden="1" customWidth="1"/>
    <col min="3" max="3" width="23.1640625" style="125" hidden="1" customWidth="1"/>
    <col min="4" max="4" width="21" style="125" hidden="1" customWidth="1"/>
    <col min="5" max="5" width="11.83203125" style="126" bestFit="1" customWidth="1"/>
    <col min="6" max="6" width="11.6640625" style="126" customWidth="1"/>
    <col min="7" max="7" width="12.83203125" style="126" bestFit="1" customWidth="1"/>
    <col min="8" max="8" width="12.6640625" style="126" hidden="1" customWidth="1"/>
    <col min="9" max="9" width="12.6640625" style="126" customWidth="1"/>
    <col min="10" max="10" width="12.83203125" style="127" bestFit="1" customWidth="1"/>
    <col min="11" max="11" width="12.6640625" style="127" hidden="1" customWidth="1"/>
    <col min="12" max="12" width="12.6640625" style="127" customWidth="1"/>
    <col min="13" max="13" width="11.83203125" style="127" bestFit="1" customWidth="1"/>
    <col min="14" max="14" width="11.6640625" style="127" hidden="1" customWidth="1"/>
    <col min="15" max="15" width="11.6640625" style="127" customWidth="1"/>
    <col min="16" max="16" width="11.83203125" style="127" bestFit="1" customWidth="1"/>
    <col min="17" max="18" width="11.6640625" style="127" hidden="1" customWidth="1"/>
    <col min="19" max="19" width="12.83203125" style="127" bestFit="1" customWidth="1"/>
    <col min="20" max="21" width="12.6640625" style="127" hidden="1" customWidth="1"/>
    <col min="22" max="22" width="11.83203125" style="127" bestFit="1" customWidth="1"/>
    <col min="23" max="24" width="11.6640625" style="127" hidden="1" customWidth="1"/>
    <col min="25" max="25" width="11.83203125" style="127" bestFit="1" customWidth="1"/>
    <col min="26" max="27" width="11.6640625" style="127" hidden="1" customWidth="1"/>
    <col min="28" max="28" width="11.83203125" style="127" bestFit="1" customWidth="1"/>
    <col min="29" max="30" width="11.6640625" style="127" hidden="1" customWidth="1"/>
    <col min="31" max="31" width="11.83203125" style="127" bestFit="1" customWidth="1"/>
    <col min="32" max="33" width="11.6640625" style="127" hidden="1" customWidth="1"/>
    <col min="34" max="34" width="12.83203125" style="127" bestFit="1" customWidth="1"/>
    <col min="35" max="36" width="12.6640625" style="127" hidden="1" customWidth="1"/>
    <col min="37" max="37" width="11.83203125" style="127" bestFit="1" customWidth="1"/>
    <col min="38" max="39" width="11.6640625" style="127" hidden="1" customWidth="1"/>
    <col min="40" max="40" width="12.33203125" style="127" bestFit="1" customWidth="1"/>
    <col min="41" max="41" width="11.6640625" style="127" bestFit="1" customWidth="1"/>
    <col min="42" max="42" width="15.6640625" style="127" bestFit="1" customWidth="1"/>
  </cols>
  <sheetData>
    <row r="1" spans="1:42" ht="52" customHeight="1" thickBot="1" x14ac:dyDescent="0.25">
      <c r="A1" s="171" t="s">
        <v>125</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row>
    <row r="2" spans="1:42" ht="33" thickBot="1" x14ac:dyDescent="0.25">
      <c r="A2" s="162" t="s">
        <v>0</v>
      </c>
      <c r="B2" s="163"/>
      <c r="C2" s="163"/>
      <c r="D2" s="163"/>
      <c r="E2" s="164" t="s">
        <v>1</v>
      </c>
      <c r="F2" s="164" t="s">
        <v>114</v>
      </c>
      <c r="G2" s="164" t="s">
        <v>1</v>
      </c>
      <c r="H2" s="163" t="s">
        <v>115</v>
      </c>
      <c r="I2" s="164" t="s">
        <v>114</v>
      </c>
      <c r="J2" s="164" t="s">
        <v>1</v>
      </c>
      <c r="K2" s="163" t="s">
        <v>115</v>
      </c>
      <c r="L2" s="164" t="s">
        <v>114</v>
      </c>
      <c r="M2" s="164" t="s">
        <v>1</v>
      </c>
      <c r="N2" s="163" t="s">
        <v>115</v>
      </c>
      <c r="O2" s="164" t="s">
        <v>114</v>
      </c>
      <c r="P2" s="164" t="s">
        <v>1</v>
      </c>
      <c r="Q2" s="163" t="s">
        <v>115</v>
      </c>
      <c r="R2" s="164" t="s">
        <v>114</v>
      </c>
      <c r="S2" s="164" t="s">
        <v>1</v>
      </c>
      <c r="T2" s="163" t="s">
        <v>115</v>
      </c>
      <c r="U2" s="164" t="s">
        <v>114</v>
      </c>
      <c r="V2" s="164" t="s">
        <v>1</v>
      </c>
      <c r="W2" s="163" t="s">
        <v>115</v>
      </c>
      <c r="X2" s="164" t="s">
        <v>114</v>
      </c>
      <c r="Y2" s="164" t="s">
        <v>1</v>
      </c>
      <c r="Z2" s="163" t="s">
        <v>115</v>
      </c>
      <c r="AA2" s="164" t="s">
        <v>114</v>
      </c>
      <c r="AB2" s="164" t="s">
        <v>1</v>
      </c>
      <c r="AC2" s="163" t="s">
        <v>115</v>
      </c>
      <c r="AD2" s="164" t="s">
        <v>114</v>
      </c>
      <c r="AE2" s="164" t="s">
        <v>1</v>
      </c>
      <c r="AF2" s="163" t="s">
        <v>115</v>
      </c>
      <c r="AG2" s="164" t="s">
        <v>114</v>
      </c>
      <c r="AH2" s="164" t="s">
        <v>1</v>
      </c>
      <c r="AI2" s="163" t="s">
        <v>115</v>
      </c>
      <c r="AJ2" s="164" t="s">
        <v>114</v>
      </c>
      <c r="AK2" s="164" t="s">
        <v>1</v>
      </c>
      <c r="AL2" s="163" t="s">
        <v>115</v>
      </c>
      <c r="AM2" s="165" t="s">
        <v>114</v>
      </c>
      <c r="AN2" s="166" t="s">
        <v>1</v>
      </c>
      <c r="AO2" s="167" t="s">
        <v>114</v>
      </c>
      <c r="AP2" s="166" t="s">
        <v>119</v>
      </c>
    </row>
    <row r="3" spans="1:42" s="50" customFormat="1" x14ac:dyDescent="0.2">
      <c r="A3" s="157"/>
      <c r="B3" s="157"/>
      <c r="C3" s="157"/>
      <c r="D3" s="157"/>
      <c r="E3" s="158">
        <v>45383</v>
      </c>
      <c r="F3" s="158">
        <v>45383</v>
      </c>
      <c r="G3" s="158">
        <v>45413</v>
      </c>
      <c r="H3" s="158">
        <v>45413</v>
      </c>
      <c r="I3" s="158">
        <v>45413</v>
      </c>
      <c r="J3" s="158">
        <v>45444</v>
      </c>
      <c r="K3" s="158">
        <f>J3</f>
        <v>45444</v>
      </c>
      <c r="L3" s="158">
        <f>K3</f>
        <v>45444</v>
      </c>
      <c r="M3" s="158">
        <v>45474</v>
      </c>
      <c r="N3" s="158">
        <f>M3</f>
        <v>45474</v>
      </c>
      <c r="O3" s="158">
        <f>N3</f>
        <v>45474</v>
      </c>
      <c r="P3" s="158">
        <v>45505</v>
      </c>
      <c r="Q3" s="158">
        <f>P3</f>
        <v>45505</v>
      </c>
      <c r="R3" s="158">
        <f>Q3</f>
        <v>45505</v>
      </c>
      <c r="S3" s="158">
        <v>45536</v>
      </c>
      <c r="T3" s="158">
        <f>S3</f>
        <v>45536</v>
      </c>
      <c r="U3" s="158">
        <f>T3</f>
        <v>45536</v>
      </c>
      <c r="V3" s="158">
        <v>45566</v>
      </c>
      <c r="W3" s="158">
        <f>V3</f>
        <v>45566</v>
      </c>
      <c r="X3" s="158">
        <f>W3</f>
        <v>45566</v>
      </c>
      <c r="Y3" s="158">
        <v>45597</v>
      </c>
      <c r="Z3" s="158">
        <f>Y3</f>
        <v>45597</v>
      </c>
      <c r="AA3" s="158">
        <f>Z3</f>
        <v>45597</v>
      </c>
      <c r="AB3" s="158">
        <v>45627</v>
      </c>
      <c r="AC3" s="158">
        <f>AB3</f>
        <v>45627</v>
      </c>
      <c r="AD3" s="158">
        <f>AC3</f>
        <v>45627</v>
      </c>
      <c r="AE3" s="158">
        <v>45658</v>
      </c>
      <c r="AF3" s="158">
        <f>AE3</f>
        <v>45658</v>
      </c>
      <c r="AG3" s="158">
        <f>AF3</f>
        <v>45658</v>
      </c>
      <c r="AH3" s="158">
        <v>45689</v>
      </c>
      <c r="AI3" s="158">
        <f>AH3</f>
        <v>45689</v>
      </c>
      <c r="AJ3" s="158">
        <f>AI3</f>
        <v>45689</v>
      </c>
      <c r="AK3" s="158">
        <v>45717</v>
      </c>
      <c r="AL3" s="158">
        <f>AK3</f>
        <v>45717</v>
      </c>
      <c r="AM3" s="159">
        <f>AL3</f>
        <v>45717</v>
      </c>
      <c r="AN3" s="160" t="s">
        <v>116</v>
      </c>
      <c r="AO3" s="161" t="s">
        <v>116</v>
      </c>
      <c r="AP3" s="160" t="s">
        <v>116</v>
      </c>
    </row>
    <row r="4" spans="1:42" x14ac:dyDescent="0.2">
      <c r="A4" s="38" t="s">
        <v>2</v>
      </c>
      <c r="B4" s="39">
        <v>725167</v>
      </c>
      <c r="C4" s="39">
        <v>31.1</v>
      </c>
      <c r="D4" s="39">
        <v>11</v>
      </c>
      <c r="E4" s="39">
        <f t="shared" ref="E4:AM4" si="0">SUM(E5:E7)</f>
        <v>910000</v>
      </c>
      <c r="F4" s="39">
        <f t="shared" si="0"/>
        <v>861400</v>
      </c>
      <c r="G4" s="39">
        <f t="shared" si="0"/>
        <v>910000</v>
      </c>
      <c r="H4" s="39">
        <f t="shared" si="0"/>
        <v>958600</v>
      </c>
      <c r="I4" s="39">
        <f t="shared" si="0"/>
        <v>856000</v>
      </c>
      <c r="J4" s="39">
        <f t="shared" si="0"/>
        <v>910000</v>
      </c>
      <c r="K4" s="39">
        <f t="shared" si="0"/>
        <v>1012600</v>
      </c>
      <c r="L4" s="39">
        <f t="shared" si="0"/>
        <v>861400</v>
      </c>
      <c r="M4" s="39">
        <f t="shared" si="0"/>
        <v>910000</v>
      </c>
      <c r="N4" s="39">
        <f t="shared" si="0"/>
        <v>1061200</v>
      </c>
      <c r="O4" s="39">
        <f t="shared" si="0"/>
        <v>861400</v>
      </c>
      <c r="P4" s="39">
        <f t="shared" si="0"/>
        <v>910000</v>
      </c>
      <c r="Q4" s="39">
        <f t="shared" si="0"/>
        <v>1109800</v>
      </c>
      <c r="R4" s="39">
        <f t="shared" si="0"/>
        <v>0</v>
      </c>
      <c r="S4" s="39">
        <f t="shared" si="0"/>
        <v>910000</v>
      </c>
      <c r="T4" s="39">
        <f t="shared" si="0"/>
        <v>2019800</v>
      </c>
      <c r="U4" s="39">
        <f t="shared" si="0"/>
        <v>0</v>
      </c>
      <c r="V4" s="39">
        <f t="shared" si="0"/>
        <v>910000</v>
      </c>
      <c r="W4" s="39">
        <f t="shared" si="0"/>
        <v>2929800</v>
      </c>
      <c r="X4" s="39">
        <f t="shared" si="0"/>
        <v>0</v>
      </c>
      <c r="Y4" s="39">
        <f t="shared" si="0"/>
        <v>910000</v>
      </c>
      <c r="Z4" s="39">
        <f t="shared" si="0"/>
        <v>3839800</v>
      </c>
      <c r="AA4" s="39">
        <f t="shared" si="0"/>
        <v>0</v>
      </c>
      <c r="AB4" s="39">
        <f t="shared" si="0"/>
        <v>910000</v>
      </c>
      <c r="AC4" s="39">
        <f t="shared" si="0"/>
        <v>4749800</v>
      </c>
      <c r="AD4" s="39">
        <f t="shared" si="0"/>
        <v>0</v>
      </c>
      <c r="AE4" s="39">
        <f t="shared" si="0"/>
        <v>910000</v>
      </c>
      <c r="AF4" s="39">
        <f t="shared" si="0"/>
        <v>5659800</v>
      </c>
      <c r="AG4" s="39">
        <f t="shared" si="0"/>
        <v>0</v>
      </c>
      <c r="AH4" s="39">
        <f t="shared" si="0"/>
        <v>910000</v>
      </c>
      <c r="AI4" s="39">
        <f t="shared" si="0"/>
        <v>6569800</v>
      </c>
      <c r="AJ4" s="39">
        <f t="shared" si="0"/>
        <v>0</v>
      </c>
      <c r="AK4" s="39">
        <f t="shared" si="0"/>
        <v>910000</v>
      </c>
      <c r="AL4" s="39">
        <f t="shared" si="0"/>
        <v>7479800</v>
      </c>
      <c r="AM4" s="39">
        <f t="shared" si="0"/>
        <v>0</v>
      </c>
      <c r="AN4" s="51">
        <f t="shared" ref="AN4:AN68" si="1">E4+G4+J4+M4+P4+S4+V4+Y4+AB4+AE4+AH4+AK4</f>
        <v>10920000</v>
      </c>
      <c r="AO4" s="55">
        <f>F4+I4+L4+O4+R4+U4+X4+AA4+AD4+AG4+AJ4+AM4</f>
        <v>3440200</v>
      </c>
      <c r="AP4" s="51">
        <f>AN4-AO4</f>
        <v>7479800</v>
      </c>
    </row>
    <row r="5" spans="1:42" x14ac:dyDescent="0.2">
      <c r="A5" s="37" t="s">
        <v>3</v>
      </c>
      <c r="B5" s="40"/>
      <c r="C5" s="40"/>
      <c r="D5" s="40"/>
      <c r="E5" s="68">
        <v>590000</v>
      </c>
      <c r="F5" s="68">
        <f>VLOOKUP(A5,APR!A$2:K$99,11,0)</f>
        <v>590000</v>
      </c>
      <c r="G5" s="68">
        <v>590000</v>
      </c>
      <c r="H5" s="68">
        <f>E5-F5+G5</f>
        <v>590000</v>
      </c>
      <c r="I5" s="68">
        <f>VLOOKUP(A5,MAY!$A$4:$K$99,11,0)</f>
        <v>590000</v>
      </c>
      <c r="J5" s="68">
        <v>590000</v>
      </c>
      <c r="K5" s="68">
        <f>H5-I5+J5</f>
        <v>590000</v>
      </c>
      <c r="L5" s="68">
        <f>VLOOKUP(A5,JUN!$A$4:$K$99,11,0)</f>
        <v>590000</v>
      </c>
      <c r="M5" s="68">
        <v>590000</v>
      </c>
      <c r="N5" s="68">
        <f>K5-L5+M5</f>
        <v>590000</v>
      </c>
      <c r="O5" s="68">
        <f>VLOOKUP(A5,JUL!$A$4:$K$99,11,0)</f>
        <v>590000</v>
      </c>
      <c r="P5" s="68">
        <v>590000</v>
      </c>
      <c r="Q5" s="68">
        <f>N5-O5+P5</f>
        <v>590000</v>
      </c>
      <c r="R5" s="68"/>
      <c r="S5" s="68">
        <v>590000</v>
      </c>
      <c r="T5" s="68">
        <f>Q5-R5+S5</f>
        <v>1180000</v>
      </c>
      <c r="U5" s="68"/>
      <c r="V5" s="68">
        <v>590000</v>
      </c>
      <c r="W5" s="68">
        <f>T5-U5+V5</f>
        <v>1770000</v>
      </c>
      <c r="X5" s="68"/>
      <c r="Y5" s="68">
        <v>590000</v>
      </c>
      <c r="Z5" s="68">
        <f>W5-X5+Y5</f>
        <v>2360000</v>
      </c>
      <c r="AA5" s="68"/>
      <c r="AB5" s="68">
        <v>590000</v>
      </c>
      <c r="AC5" s="68">
        <f>Z5-AA5+AB5</f>
        <v>2950000</v>
      </c>
      <c r="AD5" s="68"/>
      <c r="AE5" s="68">
        <v>590000</v>
      </c>
      <c r="AF5" s="68">
        <f>AC5-AD5+AE5</f>
        <v>3540000</v>
      </c>
      <c r="AG5" s="68"/>
      <c r="AH5" s="68">
        <v>590000</v>
      </c>
      <c r="AI5" s="68">
        <f>AF5-AG5+AH5</f>
        <v>4130000</v>
      </c>
      <c r="AJ5" s="68"/>
      <c r="AK5" s="68">
        <v>590000</v>
      </c>
      <c r="AL5" s="68">
        <f>AI5-AJ5+AK5</f>
        <v>4720000</v>
      </c>
      <c r="AM5" s="68"/>
      <c r="AN5" s="70">
        <f t="shared" si="1"/>
        <v>7080000</v>
      </c>
      <c r="AO5" s="71">
        <f t="shared" ref="AO5:AO68" si="2">F5+I5+L5+O5+R5+U5+X5+AA5+AD5+AG5+AJ5+AM5</f>
        <v>2360000</v>
      </c>
      <c r="AP5" s="70">
        <f t="shared" ref="AP5:AP68" si="3">AN5-AO5</f>
        <v>4720000</v>
      </c>
    </row>
    <row r="6" spans="1:42" x14ac:dyDescent="0.2">
      <c r="A6" s="37" t="s">
        <v>4</v>
      </c>
      <c r="B6" s="40"/>
      <c r="C6" s="40"/>
      <c r="D6" s="40"/>
      <c r="E6" s="68">
        <v>270000</v>
      </c>
      <c r="F6" s="68">
        <f>VLOOKUP(A6,APR!A$2:K$99,11,0)</f>
        <v>236000</v>
      </c>
      <c r="G6" s="68">
        <v>270000</v>
      </c>
      <c r="H6" s="68">
        <f>E6-F6+G6</f>
        <v>304000</v>
      </c>
      <c r="I6" s="68">
        <f>VLOOKUP(A6,MAY!$A$4:$K$99,11,0)</f>
        <v>236000</v>
      </c>
      <c r="J6" s="68">
        <v>270000</v>
      </c>
      <c r="K6" s="68">
        <f>H6-I6+J6</f>
        <v>338000</v>
      </c>
      <c r="L6" s="68">
        <f>VLOOKUP(A6,JUN!$A$4:$K$99,11,0)</f>
        <v>236000</v>
      </c>
      <c r="M6" s="68">
        <v>270000</v>
      </c>
      <c r="N6" s="68">
        <f>K6-L6+M6</f>
        <v>372000</v>
      </c>
      <c r="O6" s="68">
        <f>VLOOKUP(A6,JUL!$A$4:$K$99,11,0)</f>
        <v>236000</v>
      </c>
      <c r="P6" s="68">
        <v>270000</v>
      </c>
      <c r="Q6" s="68">
        <f>N6-O6+P6</f>
        <v>406000</v>
      </c>
      <c r="R6" s="68"/>
      <c r="S6" s="68">
        <v>270000</v>
      </c>
      <c r="T6" s="68">
        <f>Q6-R6+S6</f>
        <v>676000</v>
      </c>
      <c r="U6" s="68"/>
      <c r="V6" s="68">
        <v>270000</v>
      </c>
      <c r="W6" s="68">
        <f>T6-U6+V6</f>
        <v>946000</v>
      </c>
      <c r="X6" s="68"/>
      <c r="Y6" s="68">
        <v>270000</v>
      </c>
      <c r="Z6" s="68">
        <f>W6-X6+Y6</f>
        <v>1216000</v>
      </c>
      <c r="AA6" s="68"/>
      <c r="AB6" s="68">
        <v>270000</v>
      </c>
      <c r="AC6" s="68">
        <f>Z6-AA6+AB6</f>
        <v>1486000</v>
      </c>
      <c r="AD6" s="68"/>
      <c r="AE6" s="68">
        <v>270000</v>
      </c>
      <c r="AF6" s="68">
        <f>AC6-AD6+AE6</f>
        <v>1756000</v>
      </c>
      <c r="AG6" s="68"/>
      <c r="AH6" s="68">
        <v>270000</v>
      </c>
      <c r="AI6" s="68">
        <f>AF6-AG6+AH6</f>
        <v>2026000</v>
      </c>
      <c r="AJ6" s="68"/>
      <c r="AK6" s="68">
        <v>270000</v>
      </c>
      <c r="AL6" s="68">
        <f>AI6-AJ6+AK6</f>
        <v>2296000</v>
      </c>
      <c r="AM6" s="69"/>
      <c r="AN6" s="70">
        <f t="shared" si="1"/>
        <v>3240000</v>
      </c>
      <c r="AO6" s="71">
        <f t="shared" si="2"/>
        <v>944000</v>
      </c>
      <c r="AP6" s="70">
        <f t="shared" si="3"/>
        <v>2296000</v>
      </c>
    </row>
    <row r="7" spans="1:42" x14ac:dyDescent="0.2">
      <c r="A7" s="37" t="s">
        <v>5</v>
      </c>
      <c r="B7" s="40"/>
      <c r="C7" s="40"/>
      <c r="D7" s="40"/>
      <c r="E7" s="72">
        <v>50000</v>
      </c>
      <c r="F7" s="68">
        <f>VLOOKUP(A7,APR!A$2:K$99,11,0)</f>
        <v>35400</v>
      </c>
      <c r="G7" s="72">
        <v>50000</v>
      </c>
      <c r="H7" s="68">
        <f>E7-F7+G7</f>
        <v>64600</v>
      </c>
      <c r="I7" s="68">
        <f>VLOOKUP(A7,MAY!$A$4:$K$99,11,0)</f>
        <v>30000</v>
      </c>
      <c r="J7" s="72">
        <v>50000</v>
      </c>
      <c r="K7" s="68">
        <f>H7-I7+J7</f>
        <v>84600</v>
      </c>
      <c r="L7" s="68">
        <f>VLOOKUP(A7,JUN!$A$4:$K$99,11,0)</f>
        <v>35400</v>
      </c>
      <c r="M7" s="72">
        <v>50000</v>
      </c>
      <c r="N7" s="68">
        <f>K7-L7+M7</f>
        <v>99200</v>
      </c>
      <c r="O7" s="68">
        <f>VLOOKUP(A7,JUL!$A$4:$K$99,11,0)</f>
        <v>35400</v>
      </c>
      <c r="P7" s="72">
        <v>50000</v>
      </c>
      <c r="Q7" s="68">
        <f>N7-O7+P7</f>
        <v>113800</v>
      </c>
      <c r="R7" s="72"/>
      <c r="S7" s="72">
        <v>50000</v>
      </c>
      <c r="T7" s="68">
        <f>Q7-R7+S7</f>
        <v>163800</v>
      </c>
      <c r="U7" s="72"/>
      <c r="V7" s="72">
        <v>50000</v>
      </c>
      <c r="W7" s="68">
        <f>T7-U7+V7</f>
        <v>213800</v>
      </c>
      <c r="X7" s="72"/>
      <c r="Y7" s="72">
        <v>50000</v>
      </c>
      <c r="Z7" s="68">
        <f>W7-X7+Y7</f>
        <v>263800</v>
      </c>
      <c r="AA7" s="72"/>
      <c r="AB7" s="72">
        <v>50000</v>
      </c>
      <c r="AC7" s="68">
        <f>Z7-AA7+AB7</f>
        <v>313800</v>
      </c>
      <c r="AD7" s="72"/>
      <c r="AE7" s="72">
        <v>50000</v>
      </c>
      <c r="AF7" s="68">
        <f>AC7-AD7+AE7</f>
        <v>363800</v>
      </c>
      <c r="AG7" s="72"/>
      <c r="AH7" s="72">
        <v>50000</v>
      </c>
      <c r="AI7" s="68">
        <f>AF7-AG7+AH7</f>
        <v>413800</v>
      </c>
      <c r="AJ7" s="72"/>
      <c r="AK7" s="72">
        <v>50000</v>
      </c>
      <c r="AL7" s="68">
        <f>AI7-AJ7+AK7</f>
        <v>463800</v>
      </c>
      <c r="AM7" s="73"/>
      <c r="AN7" s="74">
        <f t="shared" si="1"/>
        <v>600000</v>
      </c>
      <c r="AO7" s="75">
        <f t="shared" si="2"/>
        <v>136200</v>
      </c>
      <c r="AP7" s="74">
        <f t="shared" si="3"/>
        <v>463800</v>
      </c>
    </row>
    <row r="8" spans="1:42" x14ac:dyDescent="0.2">
      <c r="A8" s="38" t="s">
        <v>6</v>
      </c>
      <c r="B8" s="39"/>
      <c r="C8" s="39"/>
      <c r="D8" s="39">
        <v>9</v>
      </c>
      <c r="E8" s="39">
        <f t="shared" ref="E8:AM8" si="4">SUM(E9:E14)</f>
        <v>13609637.5</v>
      </c>
      <c r="F8" s="39">
        <f t="shared" si="4"/>
        <v>0</v>
      </c>
      <c r="G8" s="39">
        <f t="shared" si="4"/>
        <v>2000000</v>
      </c>
      <c r="H8" s="39">
        <f t="shared" si="4"/>
        <v>15609637.5</v>
      </c>
      <c r="I8" s="39">
        <f t="shared" si="4"/>
        <v>3089677.78</v>
      </c>
      <c r="J8" s="39">
        <f t="shared" si="4"/>
        <v>4000000</v>
      </c>
      <c r="K8" s="39">
        <f t="shared" si="4"/>
        <v>16519959.720000001</v>
      </c>
      <c r="L8" s="39">
        <f t="shared" si="4"/>
        <v>2656500</v>
      </c>
      <c r="M8" s="39">
        <f t="shared" si="4"/>
        <v>500000</v>
      </c>
      <c r="N8" s="39">
        <f t="shared" si="4"/>
        <v>14363459.720000001</v>
      </c>
      <c r="O8" s="39">
        <f t="shared" si="4"/>
        <v>3833936.06</v>
      </c>
      <c r="P8" s="39">
        <f t="shared" si="4"/>
        <v>0</v>
      </c>
      <c r="Q8" s="39">
        <f t="shared" si="4"/>
        <v>10529523.66</v>
      </c>
      <c r="R8" s="39">
        <f t="shared" si="4"/>
        <v>0</v>
      </c>
      <c r="S8" s="39">
        <f t="shared" si="4"/>
        <v>0</v>
      </c>
      <c r="T8" s="39">
        <f t="shared" si="4"/>
        <v>10529523.66</v>
      </c>
      <c r="U8" s="39">
        <f t="shared" si="4"/>
        <v>0</v>
      </c>
      <c r="V8" s="39">
        <f t="shared" si="4"/>
        <v>0</v>
      </c>
      <c r="W8" s="39">
        <f t="shared" si="4"/>
        <v>10529523.66</v>
      </c>
      <c r="X8" s="39">
        <f t="shared" si="4"/>
        <v>0</v>
      </c>
      <c r="Y8" s="39">
        <f t="shared" si="4"/>
        <v>0</v>
      </c>
      <c r="Z8" s="39">
        <f t="shared" si="4"/>
        <v>10529523.66</v>
      </c>
      <c r="AA8" s="39">
        <f t="shared" si="4"/>
        <v>0</v>
      </c>
      <c r="AB8" s="39">
        <f t="shared" si="4"/>
        <v>0</v>
      </c>
      <c r="AC8" s="39">
        <f t="shared" si="4"/>
        <v>10529523.66</v>
      </c>
      <c r="AD8" s="39">
        <f t="shared" si="4"/>
        <v>0</v>
      </c>
      <c r="AE8" s="39">
        <f t="shared" si="4"/>
        <v>0</v>
      </c>
      <c r="AF8" s="39">
        <f t="shared" si="4"/>
        <v>10529523.66</v>
      </c>
      <c r="AG8" s="39">
        <f t="shared" si="4"/>
        <v>0</v>
      </c>
      <c r="AH8" s="39">
        <f t="shared" si="4"/>
        <v>0</v>
      </c>
      <c r="AI8" s="39">
        <f t="shared" si="4"/>
        <v>10529523.66</v>
      </c>
      <c r="AJ8" s="39">
        <f t="shared" si="4"/>
        <v>0</v>
      </c>
      <c r="AK8" s="39">
        <f t="shared" si="4"/>
        <v>0</v>
      </c>
      <c r="AL8" s="39">
        <f t="shared" si="4"/>
        <v>10529523.66</v>
      </c>
      <c r="AM8" s="39">
        <f t="shared" si="4"/>
        <v>0</v>
      </c>
      <c r="AN8" s="51">
        <f t="shared" si="1"/>
        <v>20109637.5</v>
      </c>
      <c r="AO8" s="55">
        <f t="shared" si="2"/>
        <v>9580113.8399999999</v>
      </c>
      <c r="AP8" s="51">
        <f t="shared" si="3"/>
        <v>10529523.66</v>
      </c>
    </row>
    <row r="9" spans="1:42" x14ac:dyDescent="0.2">
      <c r="A9" s="37" t="s">
        <v>7</v>
      </c>
      <c r="B9" s="40"/>
      <c r="C9" s="40"/>
      <c r="D9" s="40"/>
      <c r="E9" s="72">
        <v>1000000</v>
      </c>
      <c r="F9" s="68">
        <f>VLOOKUP(A9,APR!$A$4:$K$99,11,0)</f>
        <v>0</v>
      </c>
      <c r="G9" s="72"/>
      <c r="H9" s="68">
        <f>E9-F9+G9</f>
        <v>1000000</v>
      </c>
      <c r="I9" s="68">
        <f>VLOOKUP(A9,MAY!$A$4:$K$99,11,0)</f>
        <v>0</v>
      </c>
      <c r="J9" s="72"/>
      <c r="K9" s="68">
        <f>H9-I9+J9</f>
        <v>1000000</v>
      </c>
      <c r="L9" s="68">
        <f>VLOOKUP(A9,JUN!$A$4:$K$99,11,0)</f>
        <v>0</v>
      </c>
      <c r="M9" s="72"/>
      <c r="N9" s="68">
        <f>K9-L9+M9</f>
        <v>1000000</v>
      </c>
      <c r="O9" s="68">
        <f>VLOOKUP(A9,JUL!$A$4:$K$99,11,0)</f>
        <v>0</v>
      </c>
      <c r="P9" s="72"/>
      <c r="Q9" s="68">
        <f>N9-O9+P9</f>
        <v>1000000</v>
      </c>
      <c r="R9" s="72"/>
      <c r="S9" s="72"/>
      <c r="T9" s="68">
        <f>Q9-R9+S9</f>
        <v>1000000</v>
      </c>
      <c r="U9" s="72"/>
      <c r="V9" s="72"/>
      <c r="W9" s="68">
        <f>T9-U9+V9</f>
        <v>1000000</v>
      </c>
      <c r="X9" s="72"/>
      <c r="Y9" s="72"/>
      <c r="Z9" s="68">
        <f>W9-X9+Y9</f>
        <v>1000000</v>
      </c>
      <c r="AA9" s="72"/>
      <c r="AB9" s="72"/>
      <c r="AC9" s="68">
        <f>Z9-AA9+AB9</f>
        <v>1000000</v>
      </c>
      <c r="AD9" s="72"/>
      <c r="AE9" s="72"/>
      <c r="AF9" s="68">
        <f>AC9-AD9+AE9</f>
        <v>1000000</v>
      </c>
      <c r="AG9" s="72"/>
      <c r="AH9" s="72"/>
      <c r="AI9" s="68">
        <f>AF9-AG9+AH9</f>
        <v>1000000</v>
      </c>
      <c r="AJ9" s="72"/>
      <c r="AK9" s="72"/>
      <c r="AL9" s="68">
        <f>AI9-AJ9+AK9</f>
        <v>1000000</v>
      </c>
      <c r="AM9" s="73"/>
      <c r="AN9" s="74">
        <f t="shared" si="1"/>
        <v>1000000</v>
      </c>
      <c r="AO9" s="75">
        <f t="shared" si="2"/>
        <v>0</v>
      </c>
      <c r="AP9" s="74">
        <f t="shared" si="3"/>
        <v>1000000</v>
      </c>
    </row>
    <row r="10" spans="1:42" x14ac:dyDescent="0.2">
      <c r="A10" s="37" t="s">
        <v>8</v>
      </c>
      <c r="B10" s="40"/>
      <c r="C10" s="40"/>
      <c r="D10" s="40"/>
      <c r="E10" s="72">
        <v>12609637.5</v>
      </c>
      <c r="F10" s="68">
        <f>VLOOKUP(A10,APR!$A$4:$K$99,11,0)</f>
        <v>0</v>
      </c>
      <c r="G10" s="72"/>
      <c r="H10" s="68">
        <f t="shared" ref="H10:H14" si="5">E10-F10+G10</f>
        <v>12609637.5</v>
      </c>
      <c r="I10" s="68">
        <f>VLOOKUP(A10,MAY!$A$4:$K$99,11,0)</f>
        <v>3089677.78</v>
      </c>
      <c r="J10" s="72"/>
      <c r="K10" s="68">
        <f t="shared" ref="K10:K14" si="6">H10-I10+J10</f>
        <v>9519959.7200000007</v>
      </c>
      <c r="L10" s="68">
        <f>VLOOKUP(A10,JUN!$A$4:$K$99,11,0)</f>
        <v>0</v>
      </c>
      <c r="M10" s="72"/>
      <c r="N10" s="68">
        <f t="shared" ref="N10:N14" si="7">K10-L10+M10</f>
        <v>9519959.7200000007</v>
      </c>
      <c r="O10" s="68">
        <f>VLOOKUP(A10,JUL!$A$4:$K$99,11,0)</f>
        <v>3081856.06</v>
      </c>
      <c r="P10" s="72"/>
      <c r="Q10" s="68">
        <f t="shared" ref="Q10:Q14" si="8">N10-O10+P10</f>
        <v>6438103.6600000001</v>
      </c>
      <c r="R10" s="72"/>
      <c r="S10" s="72"/>
      <c r="T10" s="68">
        <f t="shared" ref="T10:T14" si="9">Q10-R10+S10</f>
        <v>6438103.6600000001</v>
      </c>
      <c r="U10" s="72"/>
      <c r="V10" s="72"/>
      <c r="W10" s="68">
        <f t="shared" ref="W10:W14" si="10">T10-U10+V10</f>
        <v>6438103.6600000001</v>
      </c>
      <c r="X10" s="72"/>
      <c r="Y10" s="72"/>
      <c r="Z10" s="68">
        <f t="shared" ref="Z10:Z14" si="11">W10-X10+Y10</f>
        <v>6438103.6600000001</v>
      </c>
      <c r="AA10" s="72"/>
      <c r="AB10" s="72"/>
      <c r="AC10" s="68">
        <f t="shared" ref="AC10:AC14" si="12">Z10-AA10+AB10</f>
        <v>6438103.6600000001</v>
      </c>
      <c r="AD10" s="72"/>
      <c r="AE10" s="72"/>
      <c r="AF10" s="68">
        <f t="shared" ref="AF10:AF14" si="13">AC10-AD10+AE10</f>
        <v>6438103.6600000001</v>
      </c>
      <c r="AG10" s="72"/>
      <c r="AH10" s="72"/>
      <c r="AI10" s="68">
        <f t="shared" ref="AI10:AI14" si="14">AF10-AG10+AH10</f>
        <v>6438103.6600000001</v>
      </c>
      <c r="AJ10" s="72"/>
      <c r="AK10" s="72"/>
      <c r="AL10" s="68">
        <f t="shared" ref="AL10:AL14" si="15">AI10-AJ10+AK10</f>
        <v>6438103.6600000001</v>
      </c>
      <c r="AM10" s="73"/>
      <c r="AN10" s="74">
        <f t="shared" si="1"/>
        <v>12609637.5</v>
      </c>
      <c r="AO10" s="75">
        <f t="shared" si="2"/>
        <v>6171533.8399999999</v>
      </c>
      <c r="AP10" s="74">
        <f t="shared" si="3"/>
        <v>6438103.6600000001</v>
      </c>
    </row>
    <row r="11" spans="1:42" x14ac:dyDescent="0.2">
      <c r="A11" s="37" t="s">
        <v>9</v>
      </c>
      <c r="B11" s="40"/>
      <c r="C11" s="40"/>
      <c r="D11" s="40"/>
      <c r="E11" s="72"/>
      <c r="F11" s="68">
        <f>VLOOKUP(A11,APR!$A$4:$K$99,11,0)</f>
        <v>0</v>
      </c>
      <c r="G11" s="72">
        <v>2000000</v>
      </c>
      <c r="H11" s="68">
        <f t="shared" si="5"/>
        <v>2000000</v>
      </c>
      <c r="I11" s="68">
        <f>VLOOKUP(A11,MAY!$A$4:$K$99,11,0)</f>
        <v>0</v>
      </c>
      <c r="J11" s="72"/>
      <c r="K11" s="68">
        <f t="shared" si="6"/>
        <v>2000000</v>
      </c>
      <c r="L11" s="68">
        <f>VLOOKUP(A11,JUN!$A$4:$K$99,11,0)</f>
        <v>1464700</v>
      </c>
      <c r="M11" s="72"/>
      <c r="N11" s="68">
        <f t="shared" si="7"/>
        <v>535300</v>
      </c>
      <c r="O11" s="68">
        <f>VLOOKUP(A11,JUL!$A$4:$K$99,11,0)</f>
        <v>450000</v>
      </c>
      <c r="P11" s="72"/>
      <c r="Q11" s="68">
        <f t="shared" si="8"/>
        <v>85300</v>
      </c>
      <c r="R11" s="72"/>
      <c r="S11" s="72"/>
      <c r="T11" s="68">
        <f t="shared" si="9"/>
        <v>85300</v>
      </c>
      <c r="U11" s="72"/>
      <c r="V11" s="72"/>
      <c r="W11" s="68">
        <f t="shared" si="10"/>
        <v>85300</v>
      </c>
      <c r="X11" s="72"/>
      <c r="Y11" s="72"/>
      <c r="Z11" s="68">
        <f t="shared" si="11"/>
        <v>85300</v>
      </c>
      <c r="AA11" s="72"/>
      <c r="AB11" s="72"/>
      <c r="AC11" s="68">
        <f t="shared" si="12"/>
        <v>85300</v>
      </c>
      <c r="AD11" s="72"/>
      <c r="AE11" s="72"/>
      <c r="AF11" s="68">
        <f t="shared" si="13"/>
        <v>85300</v>
      </c>
      <c r="AG11" s="72"/>
      <c r="AH11" s="72"/>
      <c r="AI11" s="68">
        <f t="shared" si="14"/>
        <v>85300</v>
      </c>
      <c r="AJ11" s="72"/>
      <c r="AK11" s="72"/>
      <c r="AL11" s="68">
        <f t="shared" si="15"/>
        <v>85300</v>
      </c>
      <c r="AM11" s="73"/>
      <c r="AN11" s="74">
        <f t="shared" si="1"/>
        <v>2000000</v>
      </c>
      <c r="AO11" s="75">
        <f t="shared" si="2"/>
        <v>1914700</v>
      </c>
      <c r="AP11" s="74">
        <f t="shared" si="3"/>
        <v>85300</v>
      </c>
    </row>
    <row r="12" spans="1:42" x14ac:dyDescent="0.2">
      <c r="A12" s="37" t="s">
        <v>10</v>
      </c>
      <c r="B12" s="40"/>
      <c r="C12" s="40"/>
      <c r="D12" s="40"/>
      <c r="E12" s="72"/>
      <c r="F12" s="68">
        <f>VLOOKUP(A12,APR!$A$4:$K$99,11,0)</f>
        <v>0</v>
      </c>
      <c r="G12" s="72"/>
      <c r="H12" s="68">
        <f t="shared" si="5"/>
        <v>0</v>
      </c>
      <c r="I12" s="68">
        <f>VLOOKUP(A12,MAY!$A$4:$K$99,11,0)</f>
        <v>0</v>
      </c>
      <c r="J12" s="72"/>
      <c r="K12" s="68">
        <f t="shared" si="6"/>
        <v>0</v>
      </c>
      <c r="L12" s="68">
        <f>VLOOKUP(A12,JUN!$A$4:$K$99,11,0)</f>
        <v>200600</v>
      </c>
      <c r="M12" s="72">
        <v>500000</v>
      </c>
      <c r="N12" s="68">
        <f t="shared" si="7"/>
        <v>299400</v>
      </c>
      <c r="O12" s="68">
        <f>VLOOKUP(A12,JUL!$A$4:$K$99,11,0)</f>
        <v>0</v>
      </c>
      <c r="P12" s="72"/>
      <c r="Q12" s="68">
        <f t="shared" si="8"/>
        <v>299400</v>
      </c>
      <c r="R12" s="72"/>
      <c r="S12" s="72"/>
      <c r="T12" s="68">
        <f t="shared" si="9"/>
        <v>299400</v>
      </c>
      <c r="U12" s="72"/>
      <c r="V12" s="72"/>
      <c r="W12" s="68">
        <f t="shared" si="10"/>
        <v>299400</v>
      </c>
      <c r="X12" s="72"/>
      <c r="Y12" s="72"/>
      <c r="Z12" s="68">
        <f t="shared" si="11"/>
        <v>299400</v>
      </c>
      <c r="AA12" s="72"/>
      <c r="AB12" s="72"/>
      <c r="AC12" s="68">
        <f t="shared" si="12"/>
        <v>299400</v>
      </c>
      <c r="AD12" s="72"/>
      <c r="AE12" s="72"/>
      <c r="AF12" s="68">
        <f t="shared" si="13"/>
        <v>299400</v>
      </c>
      <c r="AG12" s="72"/>
      <c r="AH12" s="72"/>
      <c r="AI12" s="68">
        <f t="shared" si="14"/>
        <v>299400</v>
      </c>
      <c r="AJ12" s="72"/>
      <c r="AK12" s="72"/>
      <c r="AL12" s="68">
        <f t="shared" si="15"/>
        <v>299400</v>
      </c>
      <c r="AM12" s="73"/>
      <c r="AN12" s="74">
        <f t="shared" si="1"/>
        <v>500000</v>
      </c>
      <c r="AO12" s="75">
        <f t="shared" si="2"/>
        <v>200600</v>
      </c>
      <c r="AP12" s="74">
        <f t="shared" si="3"/>
        <v>299400</v>
      </c>
    </row>
    <row r="13" spans="1:42" x14ac:dyDescent="0.2">
      <c r="A13" s="37" t="s">
        <v>11</v>
      </c>
      <c r="B13" s="40"/>
      <c r="C13" s="40"/>
      <c r="D13" s="40"/>
      <c r="E13" s="72"/>
      <c r="F13" s="68">
        <f>VLOOKUP(A13,APR!$A$4:$K$99,11,0)</f>
        <v>0</v>
      </c>
      <c r="G13" s="72"/>
      <c r="H13" s="68">
        <f t="shared" si="5"/>
        <v>0</v>
      </c>
      <c r="I13" s="68">
        <f>VLOOKUP(A13,MAY!$A$4:$K$99,11,0)</f>
        <v>0</v>
      </c>
      <c r="J13" s="72">
        <v>1500000</v>
      </c>
      <c r="K13" s="68">
        <f t="shared" si="6"/>
        <v>1500000</v>
      </c>
      <c r="L13" s="68">
        <f>VLOOKUP(A13,JUN!$A$4:$K$99,11,0)</f>
        <v>0</v>
      </c>
      <c r="M13" s="72"/>
      <c r="N13" s="68">
        <f t="shared" si="7"/>
        <v>1500000</v>
      </c>
      <c r="O13" s="68">
        <f>VLOOKUP(A13,JUL!$A$4:$K$99,11,0)</f>
        <v>118000</v>
      </c>
      <c r="P13" s="72"/>
      <c r="Q13" s="68">
        <f t="shared" si="8"/>
        <v>1382000</v>
      </c>
      <c r="R13" s="72"/>
      <c r="S13" s="72"/>
      <c r="T13" s="68">
        <f t="shared" si="9"/>
        <v>1382000</v>
      </c>
      <c r="U13" s="72"/>
      <c r="V13" s="72"/>
      <c r="W13" s="68">
        <f t="shared" si="10"/>
        <v>1382000</v>
      </c>
      <c r="X13" s="72"/>
      <c r="Y13" s="72"/>
      <c r="Z13" s="68">
        <f t="shared" si="11"/>
        <v>1382000</v>
      </c>
      <c r="AA13" s="72"/>
      <c r="AB13" s="72"/>
      <c r="AC13" s="68">
        <f t="shared" si="12"/>
        <v>1382000</v>
      </c>
      <c r="AD13" s="72"/>
      <c r="AE13" s="72"/>
      <c r="AF13" s="68">
        <f t="shared" si="13"/>
        <v>1382000</v>
      </c>
      <c r="AG13" s="72"/>
      <c r="AH13" s="72"/>
      <c r="AI13" s="68">
        <f t="shared" si="14"/>
        <v>1382000</v>
      </c>
      <c r="AJ13" s="72"/>
      <c r="AK13" s="72"/>
      <c r="AL13" s="68">
        <f t="shared" si="15"/>
        <v>1382000</v>
      </c>
      <c r="AM13" s="73"/>
      <c r="AN13" s="74">
        <f t="shared" si="1"/>
        <v>1500000</v>
      </c>
      <c r="AO13" s="75">
        <f t="shared" si="2"/>
        <v>118000</v>
      </c>
      <c r="AP13" s="74">
        <f t="shared" si="3"/>
        <v>1382000</v>
      </c>
    </row>
    <row r="14" spans="1:42" x14ac:dyDescent="0.2">
      <c r="A14" s="37" t="s">
        <v>12</v>
      </c>
      <c r="B14" s="40"/>
      <c r="C14" s="40"/>
      <c r="D14" s="40"/>
      <c r="E14" s="72"/>
      <c r="F14" s="68">
        <f>VLOOKUP(A14,APR!$A$4:$K$99,11,0)</f>
        <v>0</v>
      </c>
      <c r="G14" s="72"/>
      <c r="H14" s="68">
        <f t="shared" si="5"/>
        <v>0</v>
      </c>
      <c r="I14" s="68">
        <f>VLOOKUP(A14,MAY!$A$4:$K$99,11,0)</f>
        <v>0</v>
      </c>
      <c r="J14" s="72">
        <v>2500000</v>
      </c>
      <c r="K14" s="68">
        <f t="shared" si="6"/>
        <v>2500000</v>
      </c>
      <c r="L14" s="68">
        <f>VLOOKUP(A14,JUN!$A$4:$K$99,11,0)</f>
        <v>991200</v>
      </c>
      <c r="M14" s="72"/>
      <c r="N14" s="68">
        <f t="shared" si="7"/>
        <v>1508800</v>
      </c>
      <c r="O14" s="68">
        <f>VLOOKUP(A14,JUL!$A$4:$K$99,11,0)</f>
        <v>184080</v>
      </c>
      <c r="P14" s="72"/>
      <c r="Q14" s="68">
        <f t="shared" si="8"/>
        <v>1324720</v>
      </c>
      <c r="R14" s="72"/>
      <c r="S14" s="72"/>
      <c r="T14" s="68">
        <f t="shared" si="9"/>
        <v>1324720</v>
      </c>
      <c r="U14" s="72"/>
      <c r="V14" s="72"/>
      <c r="W14" s="68">
        <f t="shared" si="10"/>
        <v>1324720</v>
      </c>
      <c r="X14" s="72"/>
      <c r="Y14" s="72"/>
      <c r="Z14" s="68">
        <f t="shared" si="11"/>
        <v>1324720</v>
      </c>
      <c r="AA14" s="72"/>
      <c r="AB14" s="72"/>
      <c r="AC14" s="68">
        <f t="shared" si="12"/>
        <v>1324720</v>
      </c>
      <c r="AD14" s="72"/>
      <c r="AE14" s="72"/>
      <c r="AF14" s="68">
        <f t="shared" si="13"/>
        <v>1324720</v>
      </c>
      <c r="AG14" s="72"/>
      <c r="AH14" s="72"/>
      <c r="AI14" s="68">
        <f t="shared" si="14"/>
        <v>1324720</v>
      </c>
      <c r="AJ14" s="72"/>
      <c r="AK14" s="72"/>
      <c r="AL14" s="68">
        <f t="shared" si="15"/>
        <v>1324720</v>
      </c>
      <c r="AM14" s="73"/>
      <c r="AN14" s="74">
        <f t="shared" si="1"/>
        <v>2500000</v>
      </c>
      <c r="AO14" s="75">
        <f t="shared" si="2"/>
        <v>1175280</v>
      </c>
      <c r="AP14" s="74">
        <f t="shared" si="3"/>
        <v>1324720</v>
      </c>
    </row>
    <row r="15" spans="1:42" x14ac:dyDescent="0.2">
      <c r="A15" s="38" t="s">
        <v>13</v>
      </c>
      <c r="B15" s="39">
        <v>724989</v>
      </c>
      <c r="C15" s="39">
        <v>29.55</v>
      </c>
      <c r="D15" s="39">
        <v>16</v>
      </c>
      <c r="E15" s="39">
        <f t="shared" ref="E15:AM15" si="16">SUM(E16:E16)</f>
        <v>3000000</v>
      </c>
      <c r="F15" s="39">
        <f t="shared" si="16"/>
        <v>0</v>
      </c>
      <c r="G15" s="39">
        <f t="shared" si="16"/>
        <v>3000000</v>
      </c>
      <c r="H15" s="39">
        <f t="shared" si="16"/>
        <v>6000000</v>
      </c>
      <c r="I15" s="39">
        <f t="shared" si="16"/>
        <v>0</v>
      </c>
      <c r="J15" s="39">
        <f t="shared" si="16"/>
        <v>3000000</v>
      </c>
      <c r="K15" s="39">
        <f t="shared" si="16"/>
        <v>9000000</v>
      </c>
      <c r="L15" s="39">
        <f t="shared" si="16"/>
        <v>0</v>
      </c>
      <c r="M15" s="39">
        <f t="shared" si="16"/>
        <v>3000000</v>
      </c>
      <c r="N15" s="39">
        <f t="shared" si="16"/>
        <v>12000000</v>
      </c>
      <c r="O15" s="39">
        <f t="shared" si="16"/>
        <v>0</v>
      </c>
      <c r="P15" s="39">
        <f t="shared" si="16"/>
        <v>3000000</v>
      </c>
      <c r="Q15" s="39">
        <f t="shared" si="16"/>
        <v>15000000</v>
      </c>
      <c r="R15" s="39">
        <f t="shared" si="16"/>
        <v>0</v>
      </c>
      <c r="S15" s="39">
        <f t="shared" si="16"/>
        <v>3000000</v>
      </c>
      <c r="T15" s="39">
        <f t="shared" si="16"/>
        <v>18000000</v>
      </c>
      <c r="U15" s="39">
        <f t="shared" si="16"/>
        <v>0</v>
      </c>
      <c r="V15" s="39">
        <f t="shared" si="16"/>
        <v>3000000</v>
      </c>
      <c r="W15" s="39">
        <f t="shared" si="16"/>
        <v>21000000</v>
      </c>
      <c r="X15" s="39">
        <f t="shared" si="16"/>
        <v>0</v>
      </c>
      <c r="Y15" s="39">
        <f t="shared" si="16"/>
        <v>3000000</v>
      </c>
      <c r="Z15" s="39">
        <f t="shared" si="16"/>
        <v>24000000</v>
      </c>
      <c r="AA15" s="39">
        <f t="shared" si="16"/>
        <v>0</v>
      </c>
      <c r="AB15" s="39">
        <f t="shared" si="16"/>
        <v>3000000</v>
      </c>
      <c r="AC15" s="39">
        <f t="shared" si="16"/>
        <v>27000000</v>
      </c>
      <c r="AD15" s="39">
        <f t="shared" si="16"/>
        <v>0</v>
      </c>
      <c r="AE15" s="39">
        <f t="shared" si="16"/>
        <v>3000000</v>
      </c>
      <c r="AF15" s="39">
        <f t="shared" si="16"/>
        <v>30000000</v>
      </c>
      <c r="AG15" s="39">
        <f t="shared" si="16"/>
        <v>0</v>
      </c>
      <c r="AH15" s="39">
        <f t="shared" si="16"/>
        <v>3000000</v>
      </c>
      <c r="AI15" s="39">
        <f t="shared" si="16"/>
        <v>33000000</v>
      </c>
      <c r="AJ15" s="39">
        <f t="shared" si="16"/>
        <v>0</v>
      </c>
      <c r="AK15" s="39">
        <f t="shared" si="16"/>
        <v>3000000</v>
      </c>
      <c r="AL15" s="39">
        <f t="shared" si="16"/>
        <v>36000000</v>
      </c>
      <c r="AM15" s="39">
        <f t="shared" si="16"/>
        <v>0</v>
      </c>
      <c r="AN15" s="51">
        <f t="shared" si="1"/>
        <v>36000000</v>
      </c>
      <c r="AO15" s="55">
        <f t="shared" si="2"/>
        <v>0</v>
      </c>
      <c r="AP15" s="51">
        <f t="shared" si="3"/>
        <v>36000000</v>
      </c>
    </row>
    <row r="16" spans="1:42" x14ac:dyDescent="0.2">
      <c r="A16" s="37" t="s">
        <v>14</v>
      </c>
      <c r="B16" s="40"/>
      <c r="C16" s="40"/>
      <c r="D16" s="40"/>
      <c r="E16" s="76">
        <v>3000000</v>
      </c>
      <c r="F16" s="68">
        <f>VLOOKUP(A16,APR!$A$4:$K$99,11,0)</f>
        <v>0</v>
      </c>
      <c r="G16" s="76">
        <v>3000000</v>
      </c>
      <c r="H16" s="68">
        <f>E16-F16+G16</f>
        <v>6000000</v>
      </c>
      <c r="I16" s="68">
        <f>VLOOKUP(A16,MAY!$A$4:$K$99,11,0)</f>
        <v>0</v>
      </c>
      <c r="J16" s="76">
        <v>3000000</v>
      </c>
      <c r="K16" s="68">
        <f>H16-I16+J16</f>
        <v>9000000</v>
      </c>
      <c r="L16" s="68">
        <f>VLOOKUP(A16,JUN!$A$4:$K$99,11,0)</f>
        <v>0</v>
      </c>
      <c r="M16" s="76">
        <v>3000000</v>
      </c>
      <c r="N16" s="68">
        <f>K16-L16+M16</f>
        <v>12000000</v>
      </c>
      <c r="O16" s="68">
        <f>VLOOKUP(A16,JUL!$A$4:$K$99,11,0)</f>
        <v>0</v>
      </c>
      <c r="P16" s="76">
        <v>3000000</v>
      </c>
      <c r="Q16" s="68">
        <f>N16-O16+P16</f>
        <v>15000000</v>
      </c>
      <c r="R16" s="76"/>
      <c r="S16" s="76">
        <v>3000000</v>
      </c>
      <c r="T16" s="68">
        <f>Q16-R16+S16</f>
        <v>18000000</v>
      </c>
      <c r="U16" s="76"/>
      <c r="V16" s="76">
        <v>3000000</v>
      </c>
      <c r="W16" s="68">
        <f>T16-U16+V16</f>
        <v>21000000</v>
      </c>
      <c r="X16" s="76"/>
      <c r="Y16" s="76">
        <v>3000000</v>
      </c>
      <c r="Z16" s="68">
        <f>W16-X16+Y16</f>
        <v>24000000</v>
      </c>
      <c r="AA16" s="76"/>
      <c r="AB16" s="76">
        <v>3000000</v>
      </c>
      <c r="AC16" s="68">
        <f>Z16-AA16+AB16</f>
        <v>27000000</v>
      </c>
      <c r="AD16" s="76"/>
      <c r="AE16" s="76">
        <v>3000000</v>
      </c>
      <c r="AF16" s="68">
        <f>AC16-AD16+AE16</f>
        <v>30000000</v>
      </c>
      <c r="AG16" s="76"/>
      <c r="AH16" s="76">
        <v>3000000</v>
      </c>
      <c r="AI16" s="68">
        <f>AF16-AG16+AH16</f>
        <v>33000000</v>
      </c>
      <c r="AJ16" s="76"/>
      <c r="AK16" s="76">
        <v>3000000</v>
      </c>
      <c r="AL16" s="68">
        <f>AI16-AJ16+AK16</f>
        <v>36000000</v>
      </c>
      <c r="AM16" s="77"/>
      <c r="AN16" s="78">
        <f t="shared" si="1"/>
        <v>36000000</v>
      </c>
      <c r="AO16" s="79">
        <f t="shared" si="2"/>
        <v>0</v>
      </c>
      <c r="AP16" s="78">
        <f t="shared" si="3"/>
        <v>36000000</v>
      </c>
    </row>
    <row r="17" spans="1:42" x14ac:dyDescent="0.2">
      <c r="A17" s="38" t="s">
        <v>15</v>
      </c>
      <c r="B17" s="39"/>
      <c r="C17" s="39">
        <v>0</v>
      </c>
      <c r="D17" s="39">
        <v>16</v>
      </c>
      <c r="E17" s="39">
        <f t="shared" ref="E17:AM17" si="17">SUM(E18:E26)</f>
        <v>600000</v>
      </c>
      <c r="F17" s="39">
        <f t="shared" si="17"/>
        <v>0</v>
      </c>
      <c r="G17" s="39">
        <f t="shared" si="17"/>
        <v>0</v>
      </c>
      <c r="H17" s="39">
        <f t="shared" si="17"/>
        <v>600000</v>
      </c>
      <c r="I17" s="39">
        <f t="shared" si="17"/>
        <v>0</v>
      </c>
      <c r="J17" s="39">
        <f t="shared" si="17"/>
        <v>200000</v>
      </c>
      <c r="K17" s="39">
        <f t="shared" si="17"/>
        <v>800000</v>
      </c>
      <c r="L17" s="39">
        <f t="shared" si="17"/>
        <v>0</v>
      </c>
      <c r="M17" s="39">
        <f t="shared" si="17"/>
        <v>14692800</v>
      </c>
      <c r="N17" s="39">
        <f t="shared" si="17"/>
        <v>15492800</v>
      </c>
      <c r="O17" s="39">
        <f t="shared" si="17"/>
        <v>0</v>
      </c>
      <c r="P17" s="39">
        <f t="shared" si="17"/>
        <v>3492800</v>
      </c>
      <c r="Q17" s="39">
        <f t="shared" si="17"/>
        <v>18985600</v>
      </c>
      <c r="R17" s="39">
        <f t="shared" si="17"/>
        <v>0</v>
      </c>
      <c r="S17" s="39">
        <f t="shared" si="17"/>
        <v>3492800</v>
      </c>
      <c r="T17" s="39">
        <f t="shared" si="17"/>
        <v>22478400</v>
      </c>
      <c r="U17" s="39">
        <f t="shared" si="17"/>
        <v>0</v>
      </c>
      <c r="V17" s="39">
        <f t="shared" si="17"/>
        <v>600000</v>
      </c>
      <c r="W17" s="39">
        <f t="shared" si="17"/>
        <v>23078400</v>
      </c>
      <c r="X17" s="39">
        <f t="shared" si="17"/>
        <v>0</v>
      </c>
      <c r="Y17" s="39">
        <f t="shared" si="17"/>
        <v>0</v>
      </c>
      <c r="Z17" s="39">
        <f t="shared" si="17"/>
        <v>23078400</v>
      </c>
      <c r="AA17" s="39">
        <f t="shared" si="17"/>
        <v>0</v>
      </c>
      <c r="AB17" s="39">
        <f t="shared" si="17"/>
        <v>0</v>
      </c>
      <c r="AC17" s="39">
        <f t="shared" si="17"/>
        <v>23078400</v>
      </c>
      <c r="AD17" s="39">
        <f t="shared" si="17"/>
        <v>0</v>
      </c>
      <c r="AE17" s="39">
        <f t="shared" si="17"/>
        <v>600000</v>
      </c>
      <c r="AF17" s="39">
        <f t="shared" si="17"/>
        <v>23678400</v>
      </c>
      <c r="AG17" s="39">
        <f t="shared" si="17"/>
        <v>0</v>
      </c>
      <c r="AH17" s="39">
        <f t="shared" si="17"/>
        <v>0</v>
      </c>
      <c r="AI17" s="39">
        <f t="shared" si="17"/>
        <v>23678400</v>
      </c>
      <c r="AJ17" s="39">
        <f t="shared" si="17"/>
        <v>0</v>
      </c>
      <c r="AK17" s="39">
        <f t="shared" si="17"/>
        <v>0</v>
      </c>
      <c r="AL17" s="39">
        <f t="shared" si="17"/>
        <v>23678400</v>
      </c>
      <c r="AM17" s="39">
        <f t="shared" si="17"/>
        <v>0</v>
      </c>
      <c r="AN17" s="51">
        <f t="shared" si="1"/>
        <v>23678400</v>
      </c>
      <c r="AO17" s="55">
        <f t="shared" si="2"/>
        <v>0</v>
      </c>
      <c r="AP17" s="51">
        <f t="shared" si="3"/>
        <v>23678400</v>
      </c>
    </row>
    <row r="18" spans="1:42" x14ac:dyDescent="0.2">
      <c r="A18" s="37" t="s">
        <v>16</v>
      </c>
      <c r="B18" s="40"/>
      <c r="C18" s="40"/>
      <c r="D18" s="40"/>
      <c r="E18" s="76"/>
      <c r="F18" s="68">
        <f>VLOOKUP(A18,APR!$A$4:$K$99,11,0)</f>
        <v>0</v>
      </c>
      <c r="G18" s="76"/>
      <c r="H18" s="68">
        <f t="shared" ref="H18:H26" si="18">E18-F18+G18</f>
        <v>0</v>
      </c>
      <c r="I18" s="68">
        <f>VLOOKUP(A18,MAY!$A$4:$K$99,11,0)</f>
        <v>0</v>
      </c>
      <c r="J18" s="76">
        <v>200000</v>
      </c>
      <c r="K18" s="68">
        <f t="shared" ref="K18:K26" si="19">H18-I18+J18</f>
        <v>200000</v>
      </c>
      <c r="L18" s="68">
        <f>VLOOKUP(A18,JUN!$A$4:$K$99,11,0)</f>
        <v>0</v>
      </c>
      <c r="M18" s="76"/>
      <c r="N18" s="68">
        <f t="shared" ref="N18:N26" si="20">K18-L18+M18</f>
        <v>200000</v>
      </c>
      <c r="O18" s="68">
        <f>VLOOKUP(A18,JUL!$A$4:$K$99,11,0)</f>
        <v>0</v>
      </c>
      <c r="P18" s="76"/>
      <c r="Q18" s="68">
        <f t="shared" ref="Q18:Q26" si="21">N18-O18+P18</f>
        <v>200000</v>
      </c>
      <c r="R18" s="76"/>
      <c r="S18" s="76"/>
      <c r="T18" s="68">
        <f t="shared" ref="T18:T26" si="22">Q18-R18+S18</f>
        <v>200000</v>
      </c>
      <c r="U18" s="76"/>
      <c r="V18" s="76"/>
      <c r="W18" s="68">
        <f t="shared" ref="W18:W26" si="23">T18-U18+V18</f>
        <v>200000</v>
      </c>
      <c r="X18" s="76"/>
      <c r="Y18" s="76"/>
      <c r="Z18" s="68">
        <f t="shared" ref="Z18:Z26" si="24">W18-X18+Y18</f>
        <v>200000</v>
      </c>
      <c r="AA18" s="76"/>
      <c r="AB18" s="76"/>
      <c r="AC18" s="68">
        <f t="shared" ref="AC18:AC26" si="25">Z18-AA18+AB18</f>
        <v>200000</v>
      </c>
      <c r="AD18" s="76"/>
      <c r="AE18" s="76"/>
      <c r="AF18" s="68">
        <f t="shared" ref="AF18:AF26" si="26">AC18-AD18+AE18</f>
        <v>200000</v>
      </c>
      <c r="AG18" s="76"/>
      <c r="AH18" s="76"/>
      <c r="AI18" s="68">
        <f t="shared" ref="AI18:AI26" si="27">AF18-AG18+AH18</f>
        <v>200000</v>
      </c>
      <c r="AJ18" s="76"/>
      <c r="AK18" s="76"/>
      <c r="AL18" s="68">
        <f t="shared" ref="AL18:AL26" si="28">AI18-AJ18+AK18</f>
        <v>200000</v>
      </c>
      <c r="AM18" s="77"/>
      <c r="AN18" s="78">
        <f t="shared" si="1"/>
        <v>200000</v>
      </c>
      <c r="AO18" s="79">
        <f t="shared" si="2"/>
        <v>0</v>
      </c>
      <c r="AP18" s="78">
        <f t="shared" si="3"/>
        <v>200000</v>
      </c>
    </row>
    <row r="19" spans="1:42" x14ac:dyDescent="0.2">
      <c r="A19" s="37" t="s">
        <v>17</v>
      </c>
      <c r="B19" s="40"/>
      <c r="C19" s="40"/>
      <c r="D19" s="40"/>
      <c r="E19" s="76"/>
      <c r="F19" s="68">
        <f>VLOOKUP(A19,APR!$A$4:$K$99,11,0)</f>
        <v>0</v>
      </c>
      <c r="G19" s="76"/>
      <c r="H19" s="68">
        <f t="shared" si="18"/>
        <v>0</v>
      </c>
      <c r="I19" s="68">
        <f>VLOOKUP(A19,MAY!$A$4:$K$99,11,0)</f>
        <v>0</v>
      </c>
      <c r="J19" s="76"/>
      <c r="K19" s="68">
        <f t="shared" si="19"/>
        <v>0</v>
      </c>
      <c r="L19" s="68">
        <f>VLOOKUP(A19,JUN!$A$4:$K$99,11,0)</f>
        <v>0</v>
      </c>
      <c r="M19" s="76">
        <v>6000000</v>
      </c>
      <c r="N19" s="68">
        <f t="shared" si="20"/>
        <v>6000000</v>
      </c>
      <c r="O19" s="68">
        <f>VLOOKUP(A19,JUL!$A$4:$K$99,11,0)</f>
        <v>0</v>
      </c>
      <c r="P19" s="76"/>
      <c r="Q19" s="68">
        <f t="shared" si="21"/>
        <v>6000000</v>
      </c>
      <c r="R19" s="76"/>
      <c r="S19" s="76"/>
      <c r="T19" s="68">
        <f t="shared" si="22"/>
        <v>6000000</v>
      </c>
      <c r="U19" s="76"/>
      <c r="V19" s="76"/>
      <c r="W19" s="68">
        <f t="shared" si="23"/>
        <v>6000000</v>
      </c>
      <c r="X19" s="76"/>
      <c r="Y19" s="76"/>
      <c r="Z19" s="68">
        <f t="shared" si="24"/>
        <v>6000000</v>
      </c>
      <c r="AA19" s="76"/>
      <c r="AB19" s="76"/>
      <c r="AC19" s="68">
        <f t="shared" si="25"/>
        <v>6000000</v>
      </c>
      <c r="AD19" s="76"/>
      <c r="AE19" s="76"/>
      <c r="AF19" s="68">
        <f t="shared" si="26"/>
        <v>6000000</v>
      </c>
      <c r="AG19" s="76"/>
      <c r="AH19" s="76"/>
      <c r="AI19" s="68">
        <f t="shared" si="27"/>
        <v>6000000</v>
      </c>
      <c r="AJ19" s="76"/>
      <c r="AK19" s="76"/>
      <c r="AL19" s="68">
        <f t="shared" si="28"/>
        <v>6000000</v>
      </c>
      <c r="AM19" s="77"/>
      <c r="AN19" s="78">
        <f t="shared" si="1"/>
        <v>6000000</v>
      </c>
      <c r="AO19" s="79">
        <f t="shared" si="2"/>
        <v>0</v>
      </c>
      <c r="AP19" s="78">
        <f t="shared" si="3"/>
        <v>6000000</v>
      </c>
    </row>
    <row r="20" spans="1:42" x14ac:dyDescent="0.2">
      <c r="A20" s="37" t="s">
        <v>18</v>
      </c>
      <c r="B20" s="40"/>
      <c r="C20" s="40"/>
      <c r="D20" s="40"/>
      <c r="E20" s="76"/>
      <c r="F20" s="68">
        <f>VLOOKUP(A20,APR!$A$4:$K$99,11,0)</f>
        <v>0</v>
      </c>
      <c r="G20" s="76"/>
      <c r="H20" s="68">
        <f t="shared" si="18"/>
        <v>0</v>
      </c>
      <c r="I20" s="68">
        <f>VLOOKUP(A20,MAY!$A$4:$K$99,11,0)</f>
        <v>0</v>
      </c>
      <c r="J20" s="76"/>
      <c r="K20" s="68">
        <f t="shared" si="19"/>
        <v>0</v>
      </c>
      <c r="L20" s="68">
        <f>VLOOKUP(A20,JUN!$A$4:$K$99,11,0)</f>
        <v>0</v>
      </c>
      <c r="M20" s="76">
        <v>4000000</v>
      </c>
      <c r="N20" s="68">
        <f t="shared" si="20"/>
        <v>4000000</v>
      </c>
      <c r="O20" s="68">
        <f>VLOOKUP(A20,JUL!$A$4:$K$99,11,0)</f>
        <v>0</v>
      </c>
      <c r="P20" s="76"/>
      <c r="Q20" s="68">
        <f t="shared" si="21"/>
        <v>4000000</v>
      </c>
      <c r="R20" s="76"/>
      <c r="S20" s="76"/>
      <c r="T20" s="68">
        <f t="shared" si="22"/>
        <v>4000000</v>
      </c>
      <c r="U20" s="76"/>
      <c r="V20" s="76"/>
      <c r="W20" s="68">
        <f t="shared" si="23"/>
        <v>4000000</v>
      </c>
      <c r="X20" s="76"/>
      <c r="Y20" s="76"/>
      <c r="Z20" s="68">
        <f t="shared" si="24"/>
        <v>4000000</v>
      </c>
      <c r="AA20" s="76"/>
      <c r="AB20" s="76"/>
      <c r="AC20" s="68">
        <f t="shared" si="25"/>
        <v>4000000</v>
      </c>
      <c r="AD20" s="76"/>
      <c r="AE20" s="76"/>
      <c r="AF20" s="68">
        <f t="shared" si="26"/>
        <v>4000000</v>
      </c>
      <c r="AG20" s="76"/>
      <c r="AH20" s="76"/>
      <c r="AI20" s="68">
        <f t="shared" si="27"/>
        <v>4000000</v>
      </c>
      <c r="AJ20" s="76"/>
      <c r="AK20" s="76"/>
      <c r="AL20" s="68">
        <f t="shared" si="28"/>
        <v>4000000</v>
      </c>
      <c r="AM20" s="77"/>
      <c r="AN20" s="78">
        <f t="shared" si="1"/>
        <v>4000000</v>
      </c>
      <c r="AO20" s="79">
        <f t="shared" si="2"/>
        <v>0</v>
      </c>
      <c r="AP20" s="78">
        <f t="shared" si="3"/>
        <v>4000000</v>
      </c>
    </row>
    <row r="21" spans="1:42" x14ac:dyDescent="0.2">
      <c r="A21" s="37" t="s">
        <v>19</v>
      </c>
      <c r="B21" s="40"/>
      <c r="C21" s="40"/>
      <c r="D21" s="40"/>
      <c r="E21" s="76"/>
      <c r="F21" s="68">
        <f>VLOOKUP(A21,APR!$A$4:$K$99,11,0)</f>
        <v>0</v>
      </c>
      <c r="G21" s="76"/>
      <c r="H21" s="68">
        <f t="shared" si="18"/>
        <v>0</v>
      </c>
      <c r="I21" s="68">
        <f>VLOOKUP(A21,MAY!$A$4:$K$99,11,0)</f>
        <v>0</v>
      </c>
      <c r="J21" s="76"/>
      <c r="K21" s="68">
        <f t="shared" si="19"/>
        <v>0</v>
      </c>
      <c r="L21" s="68">
        <f>VLOOKUP(A21,JUN!$A$4:$K$99,11,0)</f>
        <v>0</v>
      </c>
      <c r="M21" s="76">
        <v>600000</v>
      </c>
      <c r="N21" s="68">
        <f t="shared" si="20"/>
        <v>600000</v>
      </c>
      <c r="O21" s="68">
        <f>VLOOKUP(A21,JUL!$A$4:$K$99,11,0)</f>
        <v>0</v>
      </c>
      <c r="P21" s="76"/>
      <c r="Q21" s="68">
        <f t="shared" si="21"/>
        <v>600000</v>
      </c>
      <c r="R21" s="76"/>
      <c r="S21" s="76"/>
      <c r="T21" s="68">
        <f t="shared" si="22"/>
        <v>600000</v>
      </c>
      <c r="U21" s="76"/>
      <c r="V21" s="76"/>
      <c r="W21" s="68">
        <f t="shared" si="23"/>
        <v>600000</v>
      </c>
      <c r="X21" s="76"/>
      <c r="Y21" s="76"/>
      <c r="Z21" s="68">
        <f t="shared" si="24"/>
        <v>600000</v>
      </c>
      <c r="AA21" s="76"/>
      <c r="AB21" s="76"/>
      <c r="AC21" s="68">
        <f t="shared" si="25"/>
        <v>600000</v>
      </c>
      <c r="AD21" s="76"/>
      <c r="AE21" s="76"/>
      <c r="AF21" s="68">
        <f t="shared" si="26"/>
        <v>600000</v>
      </c>
      <c r="AG21" s="76"/>
      <c r="AH21" s="76"/>
      <c r="AI21" s="68">
        <f t="shared" si="27"/>
        <v>600000</v>
      </c>
      <c r="AJ21" s="76"/>
      <c r="AK21" s="76"/>
      <c r="AL21" s="68">
        <f t="shared" si="28"/>
        <v>600000</v>
      </c>
      <c r="AM21" s="77"/>
      <c r="AN21" s="78">
        <f t="shared" si="1"/>
        <v>600000</v>
      </c>
      <c r="AO21" s="79">
        <f t="shared" si="2"/>
        <v>0</v>
      </c>
      <c r="AP21" s="78">
        <f t="shared" si="3"/>
        <v>600000</v>
      </c>
    </row>
    <row r="22" spans="1:42" x14ac:dyDescent="0.2">
      <c r="A22" s="41" t="s">
        <v>20</v>
      </c>
      <c r="B22" s="40"/>
      <c r="C22" s="40"/>
      <c r="D22" s="40"/>
      <c r="E22" s="76"/>
      <c r="F22" s="68">
        <f>VLOOKUP(A22,APR!$A$4:$K$99,11,0)</f>
        <v>0</v>
      </c>
      <c r="G22" s="76"/>
      <c r="H22" s="68">
        <f t="shared" si="18"/>
        <v>0</v>
      </c>
      <c r="I22" s="68">
        <f>VLOOKUP(A22,MAY!$A$4:$K$99,11,0)</f>
        <v>0</v>
      </c>
      <c r="J22" s="76"/>
      <c r="K22" s="68">
        <f t="shared" si="19"/>
        <v>0</v>
      </c>
      <c r="L22" s="68">
        <f>VLOOKUP(A22,JUN!$A$4:$K$99,11,0)</f>
        <v>0</v>
      </c>
      <c r="M22" s="76">
        <v>188800</v>
      </c>
      <c r="N22" s="68">
        <f t="shared" si="20"/>
        <v>188800</v>
      </c>
      <c r="O22" s="68">
        <f>VLOOKUP(A22,JUL!$A$4:$K$99,11,0)</f>
        <v>0</v>
      </c>
      <c r="P22" s="76">
        <v>188800</v>
      </c>
      <c r="Q22" s="68">
        <f t="shared" si="21"/>
        <v>377600</v>
      </c>
      <c r="R22" s="76"/>
      <c r="S22" s="76">
        <v>188800</v>
      </c>
      <c r="T22" s="68">
        <f t="shared" si="22"/>
        <v>566400</v>
      </c>
      <c r="U22" s="76"/>
      <c r="V22" s="76"/>
      <c r="W22" s="68">
        <f t="shared" si="23"/>
        <v>566400</v>
      </c>
      <c r="X22" s="76"/>
      <c r="Y22" s="76"/>
      <c r="Z22" s="68">
        <f t="shared" si="24"/>
        <v>566400</v>
      </c>
      <c r="AA22" s="76"/>
      <c r="AB22" s="76"/>
      <c r="AC22" s="68">
        <f t="shared" si="25"/>
        <v>566400</v>
      </c>
      <c r="AD22" s="76"/>
      <c r="AE22" s="76"/>
      <c r="AF22" s="68">
        <f t="shared" si="26"/>
        <v>566400</v>
      </c>
      <c r="AG22" s="76"/>
      <c r="AH22" s="76"/>
      <c r="AI22" s="68">
        <f t="shared" si="27"/>
        <v>566400</v>
      </c>
      <c r="AJ22" s="76"/>
      <c r="AK22" s="76"/>
      <c r="AL22" s="68">
        <f t="shared" si="28"/>
        <v>566400</v>
      </c>
      <c r="AM22" s="77"/>
      <c r="AN22" s="78">
        <f t="shared" si="1"/>
        <v>566400</v>
      </c>
      <c r="AO22" s="79">
        <f t="shared" si="2"/>
        <v>0</v>
      </c>
      <c r="AP22" s="78">
        <f t="shared" si="3"/>
        <v>566400</v>
      </c>
    </row>
    <row r="23" spans="1:42" x14ac:dyDescent="0.2">
      <c r="A23" s="41" t="s">
        <v>21</v>
      </c>
      <c r="B23" s="40"/>
      <c r="C23" s="40"/>
      <c r="D23" s="40"/>
      <c r="E23" s="76"/>
      <c r="F23" s="68">
        <f>VLOOKUP(A23,APR!$A$4:$K$99,11,0)</f>
        <v>0</v>
      </c>
      <c r="G23" s="76"/>
      <c r="H23" s="68">
        <f t="shared" si="18"/>
        <v>0</v>
      </c>
      <c r="I23" s="68">
        <f>VLOOKUP(A23,MAY!$A$4:$K$99,11,0)</f>
        <v>0</v>
      </c>
      <c r="J23" s="76"/>
      <c r="K23" s="68">
        <f t="shared" si="19"/>
        <v>0</v>
      </c>
      <c r="L23" s="68">
        <f>VLOOKUP(A23,JUN!$A$4:$K$99,11,0)</f>
        <v>0</v>
      </c>
      <c r="M23" s="76">
        <v>767000</v>
      </c>
      <c r="N23" s="68">
        <f t="shared" si="20"/>
        <v>767000</v>
      </c>
      <c r="O23" s="68">
        <f>VLOOKUP(A23,JUL!$A$4:$K$99,11,0)</f>
        <v>0</v>
      </c>
      <c r="P23" s="76">
        <v>767000</v>
      </c>
      <c r="Q23" s="68">
        <f t="shared" si="21"/>
        <v>1534000</v>
      </c>
      <c r="R23" s="76"/>
      <c r="S23" s="76">
        <v>767000</v>
      </c>
      <c r="T23" s="68">
        <f t="shared" si="22"/>
        <v>2301000</v>
      </c>
      <c r="U23" s="76"/>
      <c r="V23" s="76"/>
      <c r="W23" s="68">
        <f t="shared" si="23"/>
        <v>2301000</v>
      </c>
      <c r="X23" s="76"/>
      <c r="Y23" s="76"/>
      <c r="Z23" s="68">
        <f t="shared" si="24"/>
        <v>2301000</v>
      </c>
      <c r="AA23" s="76"/>
      <c r="AB23" s="76"/>
      <c r="AC23" s="68">
        <f t="shared" si="25"/>
        <v>2301000</v>
      </c>
      <c r="AD23" s="76"/>
      <c r="AE23" s="76"/>
      <c r="AF23" s="68">
        <f t="shared" si="26"/>
        <v>2301000</v>
      </c>
      <c r="AG23" s="76"/>
      <c r="AH23" s="76"/>
      <c r="AI23" s="68">
        <f t="shared" si="27"/>
        <v>2301000</v>
      </c>
      <c r="AJ23" s="76"/>
      <c r="AK23" s="76"/>
      <c r="AL23" s="68">
        <f t="shared" si="28"/>
        <v>2301000</v>
      </c>
      <c r="AM23" s="77"/>
      <c r="AN23" s="78">
        <f t="shared" si="1"/>
        <v>2301000</v>
      </c>
      <c r="AO23" s="79">
        <f t="shared" si="2"/>
        <v>0</v>
      </c>
      <c r="AP23" s="78">
        <f t="shared" si="3"/>
        <v>2301000</v>
      </c>
    </row>
    <row r="24" spans="1:42" x14ac:dyDescent="0.2">
      <c r="A24" s="41" t="s">
        <v>22</v>
      </c>
      <c r="B24" s="40"/>
      <c r="C24" s="40"/>
      <c r="D24" s="40"/>
      <c r="E24" s="76"/>
      <c r="F24" s="68">
        <f>VLOOKUP(A24,APR!$A$4:$K$99,11,0)</f>
        <v>0</v>
      </c>
      <c r="G24" s="76"/>
      <c r="H24" s="68">
        <f t="shared" si="18"/>
        <v>0</v>
      </c>
      <c r="I24" s="68">
        <f>VLOOKUP(A24,MAY!$A$4:$K$99,11,0)</f>
        <v>0</v>
      </c>
      <c r="J24" s="76"/>
      <c r="K24" s="68">
        <f t="shared" si="19"/>
        <v>0</v>
      </c>
      <c r="L24" s="68">
        <f>VLOOKUP(A24,JUN!$A$4:$K$99,11,0)</f>
        <v>0</v>
      </c>
      <c r="M24" s="76">
        <v>177000</v>
      </c>
      <c r="N24" s="68">
        <f t="shared" si="20"/>
        <v>177000</v>
      </c>
      <c r="O24" s="68">
        <f>VLOOKUP(A24,JUL!$A$4:$K$99,11,0)</f>
        <v>0</v>
      </c>
      <c r="P24" s="76">
        <v>177000</v>
      </c>
      <c r="Q24" s="68">
        <f t="shared" si="21"/>
        <v>354000</v>
      </c>
      <c r="R24" s="76"/>
      <c r="S24" s="76">
        <v>177000</v>
      </c>
      <c r="T24" s="68">
        <f t="shared" si="22"/>
        <v>531000</v>
      </c>
      <c r="U24" s="76"/>
      <c r="V24" s="76"/>
      <c r="W24" s="68">
        <f t="shared" si="23"/>
        <v>531000</v>
      </c>
      <c r="X24" s="76"/>
      <c r="Y24" s="76"/>
      <c r="Z24" s="68">
        <f t="shared" si="24"/>
        <v>531000</v>
      </c>
      <c r="AA24" s="76"/>
      <c r="AB24" s="76"/>
      <c r="AC24" s="68">
        <f t="shared" si="25"/>
        <v>531000</v>
      </c>
      <c r="AD24" s="76"/>
      <c r="AE24" s="76"/>
      <c r="AF24" s="68">
        <f t="shared" si="26"/>
        <v>531000</v>
      </c>
      <c r="AG24" s="76"/>
      <c r="AH24" s="76"/>
      <c r="AI24" s="68">
        <f t="shared" si="27"/>
        <v>531000</v>
      </c>
      <c r="AJ24" s="76"/>
      <c r="AK24" s="76"/>
      <c r="AL24" s="68">
        <f t="shared" si="28"/>
        <v>531000</v>
      </c>
      <c r="AM24" s="77"/>
      <c r="AN24" s="78">
        <f t="shared" si="1"/>
        <v>531000</v>
      </c>
      <c r="AO24" s="79">
        <f t="shared" si="2"/>
        <v>0</v>
      </c>
      <c r="AP24" s="78">
        <f t="shared" si="3"/>
        <v>531000</v>
      </c>
    </row>
    <row r="25" spans="1:42" x14ac:dyDescent="0.2">
      <c r="A25" s="41" t="s">
        <v>23</v>
      </c>
      <c r="B25" s="40"/>
      <c r="C25" s="40"/>
      <c r="D25" s="40"/>
      <c r="E25" s="76"/>
      <c r="F25" s="68">
        <f>VLOOKUP(A25,APR!$A$4:$K$99,11,0)</f>
        <v>0</v>
      </c>
      <c r="G25" s="76"/>
      <c r="H25" s="68">
        <f t="shared" si="18"/>
        <v>0</v>
      </c>
      <c r="I25" s="68">
        <f>VLOOKUP(A25,MAY!$A$4:$K$99,11,0)</f>
        <v>0</v>
      </c>
      <c r="J25" s="76"/>
      <c r="K25" s="68">
        <f t="shared" si="19"/>
        <v>0</v>
      </c>
      <c r="L25" s="68">
        <f>VLOOKUP(A25,JUN!$A$4:$K$99,11,0)</f>
        <v>0</v>
      </c>
      <c r="M25" s="76">
        <v>2360000</v>
      </c>
      <c r="N25" s="68">
        <f t="shared" si="20"/>
        <v>2360000</v>
      </c>
      <c r="O25" s="68">
        <f>VLOOKUP(A25,JUL!$A$4:$K$99,11,0)</f>
        <v>0</v>
      </c>
      <c r="P25" s="76">
        <v>2360000</v>
      </c>
      <c r="Q25" s="68">
        <f t="shared" si="21"/>
        <v>4720000</v>
      </c>
      <c r="R25" s="76"/>
      <c r="S25" s="76">
        <v>2360000</v>
      </c>
      <c r="T25" s="68">
        <f t="shared" si="22"/>
        <v>7080000</v>
      </c>
      <c r="U25" s="76"/>
      <c r="V25" s="76"/>
      <c r="W25" s="68">
        <f t="shared" si="23"/>
        <v>7080000</v>
      </c>
      <c r="X25" s="76"/>
      <c r="Y25" s="76"/>
      <c r="Z25" s="68">
        <f t="shared" si="24"/>
        <v>7080000</v>
      </c>
      <c r="AA25" s="76"/>
      <c r="AB25" s="76"/>
      <c r="AC25" s="68">
        <f t="shared" si="25"/>
        <v>7080000</v>
      </c>
      <c r="AD25" s="76"/>
      <c r="AE25" s="76"/>
      <c r="AF25" s="68">
        <f t="shared" si="26"/>
        <v>7080000</v>
      </c>
      <c r="AG25" s="76"/>
      <c r="AH25" s="76"/>
      <c r="AI25" s="68">
        <f t="shared" si="27"/>
        <v>7080000</v>
      </c>
      <c r="AJ25" s="76"/>
      <c r="AK25" s="76"/>
      <c r="AL25" s="68">
        <f t="shared" si="28"/>
        <v>7080000</v>
      </c>
      <c r="AM25" s="77"/>
      <c r="AN25" s="78">
        <f t="shared" si="1"/>
        <v>7080000</v>
      </c>
      <c r="AO25" s="79">
        <f t="shared" si="2"/>
        <v>0</v>
      </c>
      <c r="AP25" s="78">
        <f t="shared" si="3"/>
        <v>7080000</v>
      </c>
    </row>
    <row r="26" spans="1:42" x14ac:dyDescent="0.2">
      <c r="A26" s="37" t="s">
        <v>24</v>
      </c>
      <c r="B26" s="40"/>
      <c r="C26" s="40"/>
      <c r="D26" s="40"/>
      <c r="E26" s="76">
        <v>600000</v>
      </c>
      <c r="F26" s="68">
        <f>VLOOKUP(A26,APR!$A$4:$K$99,11,0)</f>
        <v>0</v>
      </c>
      <c r="G26" s="76"/>
      <c r="H26" s="68">
        <f t="shared" si="18"/>
        <v>600000</v>
      </c>
      <c r="I26" s="68">
        <f>VLOOKUP(A26,MAY!$A$4:$K$99,11,0)</f>
        <v>0</v>
      </c>
      <c r="J26" s="76"/>
      <c r="K26" s="68">
        <f t="shared" si="19"/>
        <v>600000</v>
      </c>
      <c r="L26" s="68">
        <f>VLOOKUP(A26,JUN!$A$4:$K$99,11,0)</f>
        <v>0</v>
      </c>
      <c r="M26" s="76">
        <v>600000</v>
      </c>
      <c r="N26" s="68">
        <f t="shared" si="20"/>
        <v>1200000</v>
      </c>
      <c r="O26" s="68">
        <f>VLOOKUP(A26,JUL!$A$4:$K$99,11,0)</f>
        <v>0</v>
      </c>
      <c r="P26" s="76"/>
      <c r="Q26" s="68">
        <f t="shared" si="21"/>
        <v>1200000</v>
      </c>
      <c r="R26" s="76"/>
      <c r="S26" s="76"/>
      <c r="T26" s="68">
        <f t="shared" si="22"/>
        <v>1200000</v>
      </c>
      <c r="U26" s="76"/>
      <c r="V26" s="76">
        <v>600000</v>
      </c>
      <c r="W26" s="68">
        <f t="shared" si="23"/>
        <v>1800000</v>
      </c>
      <c r="X26" s="76"/>
      <c r="Y26" s="76"/>
      <c r="Z26" s="68">
        <f t="shared" si="24"/>
        <v>1800000</v>
      </c>
      <c r="AA26" s="76"/>
      <c r="AB26" s="76"/>
      <c r="AC26" s="68">
        <f t="shared" si="25"/>
        <v>1800000</v>
      </c>
      <c r="AD26" s="76"/>
      <c r="AE26" s="76">
        <v>600000</v>
      </c>
      <c r="AF26" s="68">
        <f t="shared" si="26"/>
        <v>2400000</v>
      </c>
      <c r="AG26" s="76"/>
      <c r="AH26" s="76"/>
      <c r="AI26" s="68">
        <f t="shared" si="27"/>
        <v>2400000</v>
      </c>
      <c r="AJ26" s="76"/>
      <c r="AK26" s="76"/>
      <c r="AL26" s="68">
        <f t="shared" si="28"/>
        <v>2400000</v>
      </c>
      <c r="AM26" s="77"/>
      <c r="AN26" s="78">
        <f t="shared" si="1"/>
        <v>2400000</v>
      </c>
      <c r="AO26" s="79">
        <f t="shared" si="2"/>
        <v>0</v>
      </c>
      <c r="AP26" s="78">
        <f t="shared" si="3"/>
        <v>2400000</v>
      </c>
    </row>
    <row r="27" spans="1:42" x14ac:dyDescent="0.2">
      <c r="A27" s="38" t="s">
        <v>25</v>
      </c>
      <c r="B27" s="39">
        <v>24017</v>
      </c>
      <c r="C27" s="39">
        <v>0.9</v>
      </c>
      <c r="D27" s="39">
        <v>1</v>
      </c>
      <c r="E27" s="39">
        <f t="shared" ref="E27:AM27" si="29">SUM(E28:E33)</f>
        <v>0</v>
      </c>
      <c r="F27" s="39">
        <f t="shared" si="29"/>
        <v>0</v>
      </c>
      <c r="G27" s="39">
        <f t="shared" si="29"/>
        <v>0</v>
      </c>
      <c r="H27" s="39">
        <f t="shared" si="29"/>
        <v>0</v>
      </c>
      <c r="I27" s="39">
        <f t="shared" si="29"/>
        <v>10034310.1</v>
      </c>
      <c r="J27" s="39">
        <f t="shared" si="29"/>
        <v>0</v>
      </c>
      <c r="K27" s="39">
        <f t="shared" si="29"/>
        <v>-10034310.1</v>
      </c>
      <c r="L27" s="39">
        <f t="shared" si="29"/>
        <v>334766</v>
      </c>
      <c r="M27" s="39">
        <f t="shared" si="29"/>
        <v>4550000</v>
      </c>
      <c r="N27" s="39">
        <f t="shared" si="29"/>
        <v>-5819076.0999999996</v>
      </c>
      <c r="O27" s="39">
        <f t="shared" si="29"/>
        <v>0</v>
      </c>
      <c r="P27" s="39">
        <f t="shared" si="29"/>
        <v>600000</v>
      </c>
      <c r="Q27" s="39">
        <f t="shared" si="29"/>
        <v>-5219076.0999999996</v>
      </c>
      <c r="R27" s="39">
        <f t="shared" si="29"/>
        <v>0</v>
      </c>
      <c r="S27" s="39">
        <f t="shared" si="29"/>
        <v>0</v>
      </c>
      <c r="T27" s="39">
        <f t="shared" si="29"/>
        <v>-5219076.0999999996</v>
      </c>
      <c r="U27" s="39">
        <f t="shared" si="29"/>
        <v>0</v>
      </c>
      <c r="V27" s="39">
        <f t="shared" si="29"/>
        <v>550000</v>
      </c>
      <c r="W27" s="39">
        <f t="shared" si="29"/>
        <v>-4669076.0999999996</v>
      </c>
      <c r="X27" s="39">
        <f t="shared" si="29"/>
        <v>0</v>
      </c>
      <c r="Y27" s="39">
        <f t="shared" si="29"/>
        <v>0</v>
      </c>
      <c r="Z27" s="39">
        <f t="shared" si="29"/>
        <v>-4669076.0999999996</v>
      </c>
      <c r="AA27" s="39">
        <f t="shared" si="29"/>
        <v>0</v>
      </c>
      <c r="AB27" s="39">
        <f t="shared" si="29"/>
        <v>0</v>
      </c>
      <c r="AC27" s="39">
        <f t="shared" si="29"/>
        <v>-4669076.0999999996</v>
      </c>
      <c r="AD27" s="39">
        <f t="shared" si="29"/>
        <v>0</v>
      </c>
      <c r="AE27" s="39">
        <f t="shared" si="29"/>
        <v>250000</v>
      </c>
      <c r="AF27" s="39">
        <f t="shared" si="29"/>
        <v>-4419076.0999999996</v>
      </c>
      <c r="AG27" s="39">
        <f t="shared" si="29"/>
        <v>0</v>
      </c>
      <c r="AH27" s="39">
        <f t="shared" si="29"/>
        <v>0</v>
      </c>
      <c r="AI27" s="39">
        <f t="shared" si="29"/>
        <v>-4419076.0999999996</v>
      </c>
      <c r="AJ27" s="39">
        <f t="shared" si="29"/>
        <v>0</v>
      </c>
      <c r="AK27" s="39">
        <f t="shared" si="29"/>
        <v>200000</v>
      </c>
      <c r="AL27" s="39">
        <f t="shared" si="29"/>
        <v>-4219076.0999999996</v>
      </c>
      <c r="AM27" s="39">
        <f t="shared" si="29"/>
        <v>0</v>
      </c>
      <c r="AN27" s="51">
        <f t="shared" si="1"/>
        <v>6150000</v>
      </c>
      <c r="AO27" s="55">
        <f t="shared" si="2"/>
        <v>10369076.1</v>
      </c>
      <c r="AP27" s="51">
        <f t="shared" si="3"/>
        <v>-4219076.0999999996</v>
      </c>
    </row>
    <row r="28" spans="1:42" x14ac:dyDescent="0.2">
      <c r="A28" s="37" t="s">
        <v>26</v>
      </c>
      <c r="B28" s="40"/>
      <c r="C28" s="40"/>
      <c r="D28" s="40"/>
      <c r="E28" s="80"/>
      <c r="F28" s="68">
        <f>VLOOKUP(A28,APR!$A$4:$K$99,11,0)</f>
        <v>0</v>
      </c>
      <c r="G28" s="81"/>
      <c r="H28" s="68">
        <f t="shared" ref="H28:H33" si="30">E28-F28+G28</f>
        <v>0</v>
      </c>
      <c r="I28" s="68">
        <f>VLOOKUP(A28,MAY!$A$4:$K$99,11,0)</f>
        <v>10034310.1</v>
      </c>
      <c r="J28" s="80"/>
      <c r="K28" s="68">
        <f t="shared" ref="K28:K33" si="31">H28-I28+J28</f>
        <v>-10034310.1</v>
      </c>
      <c r="L28" s="68">
        <f>VLOOKUP(A28,JUN!$A$4:$K$99,11,0)</f>
        <v>0</v>
      </c>
      <c r="M28" s="82">
        <f>4000000</f>
        <v>4000000</v>
      </c>
      <c r="N28" s="68">
        <f t="shared" ref="N28:N33" si="32">K28-L28+M28</f>
        <v>-6034310.0999999996</v>
      </c>
      <c r="O28" s="68">
        <f>VLOOKUP(A28,JUL!$A$4:$K$99,11,0)</f>
        <v>0</v>
      </c>
      <c r="P28" s="83"/>
      <c r="Q28" s="68">
        <f t="shared" ref="Q28:Q33" si="33">N28-O28+P28</f>
        <v>-6034310.0999999996</v>
      </c>
      <c r="R28" s="83"/>
      <c r="S28" s="76"/>
      <c r="T28" s="68">
        <f t="shared" ref="T28:T33" si="34">Q28-R28+S28</f>
        <v>-6034310.0999999996</v>
      </c>
      <c r="U28" s="76"/>
      <c r="V28" s="76"/>
      <c r="W28" s="68">
        <f t="shared" ref="W28:W33" si="35">T28-U28+V28</f>
        <v>-6034310.0999999996</v>
      </c>
      <c r="X28" s="76"/>
      <c r="Y28" s="76"/>
      <c r="Z28" s="68">
        <f t="shared" ref="Z28:Z33" si="36">W28-X28+Y28</f>
        <v>-6034310.0999999996</v>
      </c>
      <c r="AA28" s="76"/>
      <c r="AB28" s="76"/>
      <c r="AC28" s="68">
        <f t="shared" ref="AC28:AC33" si="37">Z28-AA28+AB28</f>
        <v>-6034310.0999999996</v>
      </c>
      <c r="AD28" s="76"/>
      <c r="AE28" s="82"/>
      <c r="AF28" s="68">
        <f t="shared" ref="AF28:AF33" si="38">AC28-AD28+AE28</f>
        <v>-6034310.0999999996</v>
      </c>
      <c r="AG28" s="82"/>
      <c r="AH28" s="76"/>
      <c r="AI28" s="68">
        <f t="shared" ref="AI28:AI33" si="39">AF28-AG28+AH28</f>
        <v>-6034310.0999999996</v>
      </c>
      <c r="AJ28" s="76"/>
      <c r="AK28" s="76"/>
      <c r="AL28" s="68">
        <f t="shared" ref="AL28:AL33" si="40">AI28-AJ28+AK28</f>
        <v>-6034310.0999999996</v>
      </c>
      <c r="AM28" s="77"/>
      <c r="AN28" s="78">
        <f t="shared" si="1"/>
        <v>4000000</v>
      </c>
      <c r="AO28" s="79">
        <f t="shared" si="2"/>
        <v>10034310.1</v>
      </c>
      <c r="AP28" s="78">
        <f t="shared" si="3"/>
        <v>-6034310.0999999996</v>
      </c>
    </row>
    <row r="29" spans="1:42" x14ac:dyDescent="0.2">
      <c r="A29" s="37" t="s">
        <v>27</v>
      </c>
      <c r="B29" s="40"/>
      <c r="C29" s="40"/>
      <c r="D29" s="40"/>
      <c r="E29" s="81"/>
      <c r="F29" s="68">
        <f>VLOOKUP(A29,APR!$A$4:$K$99,11,0)</f>
        <v>0</v>
      </c>
      <c r="G29" s="81"/>
      <c r="H29" s="68">
        <f t="shared" si="30"/>
        <v>0</v>
      </c>
      <c r="I29" s="68">
        <f>VLOOKUP(A29,MAY!$A$4:$K$99,11,0)</f>
        <v>0</v>
      </c>
      <c r="J29" s="80"/>
      <c r="K29" s="68">
        <f t="shared" si="31"/>
        <v>0</v>
      </c>
      <c r="L29" s="68">
        <f>VLOOKUP(A29,JUN!$A$4:$K$99,11,0)</f>
        <v>0</v>
      </c>
      <c r="M29" s="81">
        <v>100000</v>
      </c>
      <c r="N29" s="68">
        <f t="shared" si="32"/>
        <v>100000</v>
      </c>
      <c r="O29" s="68">
        <f>VLOOKUP(A29,JUL!$A$4:$K$99,11,0)</f>
        <v>0</v>
      </c>
      <c r="P29" s="76"/>
      <c r="Q29" s="68">
        <f t="shared" si="33"/>
        <v>100000</v>
      </c>
      <c r="R29" s="76"/>
      <c r="S29" s="76"/>
      <c r="T29" s="68">
        <f t="shared" si="34"/>
        <v>100000</v>
      </c>
      <c r="U29" s="76"/>
      <c r="V29" s="81">
        <v>100000</v>
      </c>
      <c r="W29" s="68">
        <f t="shared" si="35"/>
        <v>200000</v>
      </c>
      <c r="X29" s="81"/>
      <c r="Y29" s="76"/>
      <c r="Z29" s="68">
        <f t="shared" si="36"/>
        <v>200000</v>
      </c>
      <c r="AA29" s="76"/>
      <c r="AB29" s="76"/>
      <c r="AC29" s="68">
        <f t="shared" si="37"/>
        <v>200000</v>
      </c>
      <c r="AD29" s="76"/>
      <c r="AE29" s="81"/>
      <c r="AF29" s="68">
        <f t="shared" si="38"/>
        <v>200000</v>
      </c>
      <c r="AG29" s="81"/>
      <c r="AH29" s="76"/>
      <c r="AI29" s="68">
        <f t="shared" si="39"/>
        <v>200000</v>
      </c>
      <c r="AJ29" s="76"/>
      <c r="AK29" s="76"/>
      <c r="AL29" s="68">
        <f t="shared" si="40"/>
        <v>200000</v>
      </c>
      <c r="AM29" s="77"/>
      <c r="AN29" s="78">
        <f t="shared" si="1"/>
        <v>200000</v>
      </c>
      <c r="AO29" s="79">
        <f t="shared" si="2"/>
        <v>0</v>
      </c>
      <c r="AP29" s="78">
        <f t="shared" si="3"/>
        <v>200000</v>
      </c>
    </row>
    <row r="30" spans="1:42" x14ac:dyDescent="0.2">
      <c r="A30" s="37" t="s">
        <v>28</v>
      </c>
      <c r="B30" s="40"/>
      <c r="C30" s="40"/>
      <c r="D30" s="40"/>
      <c r="E30" s="81"/>
      <c r="F30" s="68">
        <f>VLOOKUP(A30,APR!$A$4:$K$99,11,0)</f>
        <v>0</v>
      </c>
      <c r="G30" s="81"/>
      <c r="H30" s="68">
        <f t="shared" si="30"/>
        <v>0</v>
      </c>
      <c r="I30" s="68">
        <f>VLOOKUP(A30,MAY!$A$4:$K$99,11,0)</f>
        <v>0</v>
      </c>
      <c r="J30" s="80"/>
      <c r="K30" s="68">
        <f t="shared" si="31"/>
        <v>0</v>
      </c>
      <c r="L30" s="68">
        <f>VLOOKUP(A30,JUN!$A$4:$K$99,11,0)</f>
        <v>0</v>
      </c>
      <c r="M30" s="81">
        <v>200000</v>
      </c>
      <c r="N30" s="68">
        <f t="shared" si="32"/>
        <v>200000</v>
      </c>
      <c r="O30" s="68">
        <f>VLOOKUP(A30,JUL!$A$4:$K$99,11,0)</f>
        <v>0</v>
      </c>
      <c r="P30" s="76"/>
      <c r="Q30" s="68">
        <f t="shared" si="33"/>
        <v>200000</v>
      </c>
      <c r="R30" s="76"/>
      <c r="S30" s="76"/>
      <c r="T30" s="68">
        <f t="shared" si="34"/>
        <v>200000</v>
      </c>
      <c r="U30" s="76"/>
      <c r="V30" s="81">
        <v>200000</v>
      </c>
      <c r="W30" s="68">
        <f t="shared" si="35"/>
        <v>400000</v>
      </c>
      <c r="X30" s="81"/>
      <c r="Y30" s="76"/>
      <c r="Z30" s="68">
        <f t="shared" si="36"/>
        <v>400000</v>
      </c>
      <c r="AA30" s="76"/>
      <c r="AB30" s="76"/>
      <c r="AC30" s="68">
        <f t="shared" si="37"/>
        <v>400000</v>
      </c>
      <c r="AD30" s="76"/>
      <c r="AE30" s="81"/>
      <c r="AF30" s="68">
        <f t="shared" si="38"/>
        <v>400000</v>
      </c>
      <c r="AG30" s="81"/>
      <c r="AH30" s="76"/>
      <c r="AI30" s="68">
        <f t="shared" si="39"/>
        <v>400000</v>
      </c>
      <c r="AJ30" s="76"/>
      <c r="AK30" s="76"/>
      <c r="AL30" s="68">
        <f t="shared" si="40"/>
        <v>400000</v>
      </c>
      <c r="AM30" s="77"/>
      <c r="AN30" s="78">
        <f t="shared" si="1"/>
        <v>400000</v>
      </c>
      <c r="AO30" s="79">
        <f t="shared" si="2"/>
        <v>0</v>
      </c>
      <c r="AP30" s="78">
        <f t="shared" si="3"/>
        <v>400000</v>
      </c>
    </row>
    <row r="31" spans="1:42" x14ac:dyDescent="0.2">
      <c r="A31" s="37" t="s">
        <v>29</v>
      </c>
      <c r="B31" s="40"/>
      <c r="C31" s="40"/>
      <c r="D31" s="40"/>
      <c r="E31" s="81"/>
      <c r="F31" s="68">
        <f>VLOOKUP(A31,APR!$A$4:$K$99,11,0)</f>
        <v>0</v>
      </c>
      <c r="G31" s="81"/>
      <c r="H31" s="68">
        <f t="shared" si="30"/>
        <v>0</v>
      </c>
      <c r="I31" s="68">
        <f>VLOOKUP(A31,MAY!$A$4:$K$99,11,0)</f>
        <v>0</v>
      </c>
      <c r="J31" s="80"/>
      <c r="K31" s="68">
        <f t="shared" si="31"/>
        <v>0</v>
      </c>
      <c r="L31" s="68">
        <f>VLOOKUP(A31,JUN!$A$4:$K$99,11,0)</f>
        <v>234820</v>
      </c>
      <c r="M31" s="82">
        <v>50000</v>
      </c>
      <c r="N31" s="68">
        <f t="shared" si="32"/>
        <v>-184820</v>
      </c>
      <c r="O31" s="68">
        <f>VLOOKUP(A31,JUL!$A$4:$K$99,11,0)</f>
        <v>0</v>
      </c>
      <c r="P31" s="83"/>
      <c r="Q31" s="68">
        <f t="shared" si="33"/>
        <v>-184820</v>
      </c>
      <c r="R31" s="83"/>
      <c r="S31" s="76"/>
      <c r="T31" s="68">
        <f t="shared" si="34"/>
        <v>-184820</v>
      </c>
      <c r="U31" s="76"/>
      <c r="V31" s="82">
        <v>50000</v>
      </c>
      <c r="W31" s="68">
        <f t="shared" si="35"/>
        <v>-134820</v>
      </c>
      <c r="X31" s="82"/>
      <c r="Y31" s="76"/>
      <c r="Z31" s="68">
        <f t="shared" si="36"/>
        <v>-134820</v>
      </c>
      <c r="AA31" s="76"/>
      <c r="AB31" s="76"/>
      <c r="AC31" s="68">
        <f t="shared" si="37"/>
        <v>-134820</v>
      </c>
      <c r="AD31" s="76"/>
      <c r="AE31" s="82">
        <v>50000</v>
      </c>
      <c r="AF31" s="68">
        <f t="shared" si="38"/>
        <v>-84820</v>
      </c>
      <c r="AG31" s="82"/>
      <c r="AH31" s="76"/>
      <c r="AI31" s="68">
        <f t="shared" si="39"/>
        <v>-84820</v>
      </c>
      <c r="AJ31" s="76"/>
      <c r="AK31" s="76"/>
      <c r="AL31" s="68">
        <f t="shared" si="40"/>
        <v>-84820</v>
      </c>
      <c r="AM31" s="77"/>
      <c r="AN31" s="78">
        <f t="shared" si="1"/>
        <v>150000</v>
      </c>
      <c r="AO31" s="79">
        <f t="shared" si="2"/>
        <v>234820</v>
      </c>
      <c r="AP31" s="78">
        <f t="shared" si="3"/>
        <v>-84820</v>
      </c>
    </row>
    <row r="32" spans="1:42" x14ac:dyDescent="0.2">
      <c r="A32" s="42" t="s">
        <v>30</v>
      </c>
      <c r="B32" s="40"/>
      <c r="C32" s="40"/>
      <c r="D32" s="40"/>
      <c r="E32" s="81"/>
      <c r="F32" s="68">
        <f>VLOOKUP(A32,APR!$A$4:$K$99,11,0)</f>
        <v>0</v>
      </c>
      <c r="G32" s="81"/>
      <c r="H32" s="68">
        <f t="shared" si="30"/>
        <v>0</v>
      </c>
      <c r="I32" s="68">
        <f>VLOOKUP(A32,MAY!$A$4:$K$99,11,0)</f>
        <v>0</v>
      </c>
      <c r="J32" s="80"/>
      <c r="K32" s="68">
        <f t="shared" si="31"/>
        <v>0</v>
      </c>
      <c r="L32" s="68">
        <f>VLOOKUP(A32,JUN!$A$4:$K$99,11,0)</f>
        <v>99946</v>
      </c>
      <c r="M32" s="83"/>
      <c r="N32" s="68">
        <f t="shared" si="32"/>
        <v>-99946</v>
      </c>
      <c r="O32" s="68">
        <f>VLOOKUP(A32,JUL!$A$4:$K$99,11,0)</f>
        <v>0</v>
      </c>
      <c r="P32" s="76">
        <v>600000</v>
      </c>
      <c r="Q32" s="68">
        <f t="shared" si="33"/>
        <v>500054</v>
      </c>
      <c r="R32" s="76"/>
      <c r="S32" s="76"/>
      <c r="T32" s="68">
        <f t="shared" si="34"/>
        <v>500054</v>
      </c>
      <c r="U32" s="76"/>
      <c r="V32" s="76"/>
      <c r="W32" s="68">
        <f t="shared" si="35"/>
        <v>500054</v>
      </c>
      <c r="X32" s="76"/>
      <c r="Y32" s="76"/>
      <c r="Z32" s="68">
        <f t="shared" si="36"/>
        <v>500054</v>
      </c>
      <c r="AA32" s="76"/>
      <c r="AB32" s="76"/>
      <c r="AC32" s="68">
        <f t="shared" si="37"/>
        <v>500054</v>
      </c>
      <c r="AD32" s="76"/>
      <c r="AE32" s="76"/>
      <c r="AF32" s="68">
        <f t="shared" si="38"/>
        <v>500054</v>
      </c>
      <c r="AG32" s="76"/>
      <c r="AH32" s="76"/>
      <c r="AI32" s="68">
        <f t="shared" si="39"/>
        <v>500054</v>
      </c>
      <c r="AJ32" s="76"/>
      <c r="AK32" s="76"/>
      <c r="AL32" s="68">
        <f t="shared" si="40"/>
        <v>500054</v>
      </c>
      <c r="AM32" s="77"/>
      <c r="AN32" s="78">
        <f t="shared" si="1"/>
        <v>600000</v>
      </c>
      <c r="AO32" s="79">
        <f t="shared" si="2"/>
        <v>99946</v>
      </c>
      <c r="AP32" s="78">
        <f t="shared" si="3"/>
        <v>500054</v>
      </c>
    </row>
    <row r="33" spans="1:43" x14ac:dyDescent="0.2">
      <c r="A33" s="37" t="s">
        <v>31</v>
      </c>
      <c r="B33" s="40"/>
      <c r="C33" s="40"/>
      <c r="D33" s="40"/>
      <c r="E33" s="81"/>
      <c r="F33" s="68">
        <f>VLOOKUP(A33,APR!$A$4:$K$99,11,0)</f>
        <v>0</v>
      </c>
      <c r="G33" s="81"/>
      <c r="H33" s="68">
        <f t="shared" si="30"/>
        <v>0</v>
      </c>
      <c r="I33" s="68">
        <f>VLOOKUP(A33,MAY!$A$4:$K$99,11,0)</f>
        <v>0</v>
      </c>
      <c r="J33" s="80"/>
      <c r="K33" s="68">
        <f t="shared" si="31"/>
        <v>0</v>
      </c>
      <c r="L33" s="68">
        <f>VLOOKUP(A33,JUN!$A$4:$K$99,11,0)</f>
        <v>0</v>
      </c>
      <c r="M33" s="82">
        <v>200000</v>
      </c>
      <c r="N33" s="68">
        <f t="shared" si="32"/>
        <v>200000</v>
      </c>
      <c r="O33" s="68">
        <f>VLOOKUP(A33,JUL!$A$4:$K$99,11,0)</f>
        <v>0</v>
      </c>
      <c r="P33" s="83"/>
      <c r="Q33" s="68">
        <f t="shared" si="33"/>
        <v>200000</v>
      </c>
      <c r="R33" s="83"/>
      <c r="S33" s="76"/>
      <c r="T33" s="68">
        <f t="shared" si="34"/>
        <v>200000</v>
      </c>
      <c r="U33" s="76"/>
      <c r="V33" s="82">
        <v>200000</v>
      </c>
      <c r="W33" s="68">
        <f t="shared" si="35"/>
        <v>400000</v>
      </c>
      <c r="X33" s="82"/>
      <c r="Y33" s="76"/>
      <c r="Z33" s="68">
        <f t="shared" si="36"/>
        <v>400000</v>
      </c>
      <c r="AA33" s="76"/>
      <c r="AB33" s="76"/>
      <c r="AC33" s="68">
        <f t="shared" si="37"/>
        <v>400000</v>
      </c>
      <c r="AD33" s="76"/>
      <c r="AE33" s="82">
        <v>200000</v>
      </c>
      <c r="AF33" s="68">
        <f t="shared" si="38"/>
        <v>600000</v>
      </c>
      <c r="AG33" s="82"/>
      <c r="AH33" s="76"/>
      <c r="AI33" s="68">
        <f t="shared" si="39"/>
        <v>600000</v>
      </c>
      <c r="AJ33" s="76"/>
      <c r="AK33" s="84">
        <v>200000</v>
      </c>
      <c r="AL33" s="68">
        <f t="shared" si="40"/>
        <v>800000</v>
      </c>
      <c r="AM33" s="85"/>
      <c r="AN33" s="86">
        <f t="shared" si="1"/>
        <v>800000</v>
      </c>
      <c r="AO33" s="87">
        <f t="shared" si="2"/>
        <v>0</v>
      </c>
      <c r="AP33" s="86">
        <f t="shared" si="3"/>
        <v>800000</v>
      </c>
    </row>
    <row r="34" spans="1:43" x14ac:dyDescent="0.2">
      <c r="A34" s="38" t="s">
        <v>32</v>
      </c>
      <c r="B34" s="39"/>
      <c r="C34" s="39">
        <v>0</v>
      </c>
      <c r="D34" s="39">
        <v>14</v>
      </c>
      <c r="E34" s="43">
        <f>SUM(E35:E38)</f>
        <v>10800000</v>
      </c>
      <c r="F34" s="43">
        <f t="shared" ref="F34:AM34" si="41">SUM(F35:F38)</f>
        <v>0</v>
      </c>
      <c r="G34" s="43">
        <f t="shared" si="41"/>
        <v>16100000</v>
      </c>
      <c r="H34" s="43">
        <f t="shared" si="41"/>
        <v>26900000</v>
      </c>
      <c r="I34" s="43">
        <f t="shared" si="41"/>
        <v>0</v>
      </c>
      <c r="J34" s="43">
        <f t="shared" si="41"/>
        <v>16400000</v>
      </c>
      <c r="K34" s="43">
        <f t="shared" si="41"/>
        <v>43300000</v>
      </c>
      <c r="L34" s="43">
        <f t="shared" si="41"/>
        <v>955859</v>
      </c>
      <c r="M34" s="43">
        <f t="shared" si="41"/>
        <v>16100000</v>
      </c>
      <c r="N34" s="43">
        <f t="shared" si="41"/>
        <v>58444141</v>
      </c>
      <c r="O34" s="43">
        <f t="shared" si="41"/>
        <v>325090</v>
      </c>
      <c r="P34" s="43">
        <f t="shared" si="41"/>
        <v>1100000</v>
      </c>
      <c r="Q34" s="43">
        <f t="shared" si="41"/>
        <v>59219051</v>
      </c>
      <c r="R34" s="43">
        <f t="shared" si="41"/>
        <v>0</v>
      </c>
      <c r="S34" s="43">
        <f t="shared" si="41"/>
        <v>1400000</v>
      </c>
      <c r="T34" s="43">
        <f t="shared" si="41"/>
        <v>60619051</v>
      </c>
      <c r="U34" s="43">
        <f t="shared" si="41"/>
        <v>0</v>
      </c>
      <c r="V34" s="43">
        <f t="shared" si="41"/>
        <v>1100000</v>
      </c>
      <c r="W34" s="43">
        <f t="shared" si="41"/>
        <v>61719051</v>
      </c>
      <c r="X34" s="43">
        <f t="shared" si="41"/>
        <v>0</v>
      </c>
      <c r="Y34" s="43">
        <f t="shared" si="41"/>
        <v>1400000</v>
      </c>
      <c r="Z34" s="43">
        <f t="shared" si="41"/>
        <v>63119051</v>
      </c>
      <c r="AA34" s="43">
        <f t="shared" si="41"/>
        <v>0</v>
      </c>
      <c r="AB34" s="43">
        <f t="shared" si="41"/>
        <v>1100000</v>
      </c>
      <c r="AC34" s="43">
        <f t="shared" si="41"/>
        <v>64219051</v>
      </c>
      <c r="AD34" s="43">
        <f t="shared" si="41"/>
        <v>0</v>
      </c>
      <c r="AE34" s="43">
        <f t="shared" si="41"/>
        <v>1400000</v>
      </c>
      <c r="AF34" s="43">
        <f t="shared" si="41"/>
        <v>65619051</v>
      </c>
      <c r="AG34" s="43">
        <f t="shared" si="41"/>
        <v>0</v>
      </c>
      <c r="AH34" s="43">
        <f t="shared" si="41"/>
        <v>1100000</v>
      </c>
      <c r="AI34" s="43">
        <f t="shared" si="41"/>
        <v>66719051</v>
      </c>
      <c r="AJ34" s="43">
        <f t="shared" si="41"/>
        <v>0</v>
      </c>
      <c r="AK34" s="43">
        <f t="shared" si="41"/>
        <v>1400000</v>
      </c>
      <c r="AL34" s="43">
        <f t="shared" si="41"/>
        <v>68119051</v>
      </c>
      <c r="AM34" s="43">
        <f t="shared" si="41"/>
        <v>0</v>
      </c>
      <c r="AN34" s="52">
        <f t="shared" si="1"/>
        <v>69400000</v>
      </c>
      <c r="AO34" s="56">
        <f t="shared" si="2"/>
        <v>1280949</v>
      </c>
      <c r="AP34" s="52">
        <f t="shared" si="3"/>
        <v>68119051</v>
      </c>
    </row>
    <row r="35" spans="1:43" x14ac:dyDescent="0.2">
      <c r="A35" s="37" t="s">
        <v>33</v>
      </c>
      <c r="B35" s="40"/>
      <c r="C35" s="40"/>
      <c r="D35" s="40"/>
      <c r="E35" s="81"/>
      <c r="F35" s="68">
        <f>VLOOKUP(A35,APR!$A$4:$K$99,11,0)</f>
        <v>0</v>
      </c>
      <c r="G35" s="81"/>
      <c r="H35" s="68">
        <f t="shared" ref="H35:H38" si="42">E35-F35+G35</f>
        <v>0</v>
      </c>
      <c r="I35" s="68">
        <f>VLOOKUP(A35,MAY!$A$4:$K$99,11,0)</f>
        <v>0</v>
      </c>
      <c r="J35" s="80">
        <v>300000</v>
      </c>
      <c r="K35" s="68">
        <f t="shared" ref="K35:K38" si="43">H35-I35+J35</f>
        <v>300000</v>
      </c>
      <c r="L35" s="68">
        <f>VLOOKUP(A35,JUN!$A$4:$K$99,11,0)</f>
        <v>0</v>
      </c>
      <c r="M35" s="84"/>
      <c r="N35" s="68">
        <f t="shared" ref="N35:N38" si="44">K35-L35+M35</f>
        <v>300000</v>
      </c>
      <c r="O35" s="68">
        <f>VLOOKUP(A35,JUL!$A$4:$K$99,11,0)</f>
        <v>0</v>
      </c>
      <c r="P35" s="83"/>
      <c r="Q35" s="68">
        <f t="shared" ref="Q35:Q38" si="45">N35-O35+P35</f>
        <v>300000</v>
      </c>
      <c r="R35" s="83"/>
      <c r="S35" s="80">
        <v>300000</v>
      </c>
      <c r="T35" s="68">
        <f t="shared" ref="T35:T38" si="46">Q35-R35+S35</f>
        <v>600000</v>
      </c>
      <c r="U35" s="80"/>
      <c r="V35" s="76"/>
      <c r="W35" s="68">
        <f t="shared" ref="W35:W38" si="47">T35-U35+V35</f>
        <v>600000</v>
      </c>
      <c r="X35" s="76"/>
      <c r="Y35" s="80">
        <v>300000</v>
      </c>
      <c r="Z35" s="68">
        <f t="shared" ref="Z35:Z38" si="48">W35-X35+Y35</f>
        <v>900000</v>
      </c>
      <c r="AA35" s="80"/>
      <c r="AB35" s="76"/>
      <c r="AC35" s="68">
        <f t="shared" ref="AC35:AC38" si="49">Z35-AA35+AB35</f>
        <v>900000</v>
      </c>
      <c r="AD35" s="76"/>
      <c r="AE35" s="80">
        <v>300000</v>
      </c>
      <c r="AF35" s="68">
        <f t="shared" ref="AF35:AF38" si="50">AC35-AD35+AE35</f>
        <v>1200000</v>
      </c>
      <c r="AG35" s="80"/>
      <c r="AH35" s="76"/>
      <c r="AI35" s="68">
        <f t="shared" ref="AI35:AI38" si="51">AF35-AG35+AH35</f>
        <v>1200000</v>
      </c>
      <c r="AJ35" s="76"/>
      <c r="AK35" s="80">
        <v>300000</v>
      </c>
      <c r="AL35" s="68">
        <f t="shared" ref="AL35:AL38" si="52">AI35-AJ35+AK35</f>
        <v>1500000</v>
      </c>
      <c r="AM35" s="88"/>
      <c r="AN35" s="89">
        <f t="shared" si="1"/>
        <v>1500000</v>
      </c>
      <c r="AO35" s="90">
        <f t="shared" si="2"/>
        <v>0</v>
      </c>
      <c r="AP35" s="89">
        <f t="shared" si="3"/>
        <v>1500000</v>
      </c>
    </row>
    <row r="36" spans="1:43" x14ac:dyDescent="0.2">
      <c r="A36" s="37" t="s">
        <v>34</v>
      </c>
      <c r="B36" s="40"/>
      <c r="C36" s="40"/>
      <c r="D36" s="40"/>
      <c r="E36" s="76">
        <f>10000000</f>
        <v>10000000</v>
      </c>
      <c r="F36" s="68">
        <f>VLOOKUP(A36,APR!$A$4:$K$99,11,0)</f>
        <v>0</v>
      </c>
      <c r="G36" s="76">
        <v>800000</v>
      </c>
      <c r="H36" s="68">
        <f t="shared" si="42"/>
        <v>10800000</v>
      </c>
      <c r="I36" s="68">
        <f>VLOOKUP(A36,MAY!$A$4:$K$99,11,0)</f>
        <v>0</v>
      </c>
      <c r="J36" s="76">
        <v>800000</v>
      </c>
      <c r="K36" s="68">
        <f t="shared" si="43"/>
        <v>11600000</v>
      </c>
      <c r="L36" s="68">
        <f>VLOOKUP(A36,JUN!$A$4:$K$99,11,0)</f>
        <v>944000</v>
      </c>
      <c r="M36" s="76">
        <v>800000</v>
      </c>
      <c r="N36" s="68">
        <f t="shared" si="44"/>
        <v>11456000</v>
      </c>
      <c r="O36" s="68">
        <f>VLOOKUP(A36,JUL!$A$4:$K$99,11,0)</f>
        <v>0</v>
      </c>
      <c r="P36" s="76">
        <v>800000</v>
      </c>
      <c r="Q36" s="68">
        <f t="shared" si="45"/>
        <v>12256000</v>
      </c>
      <c r="R36" s="76"/>
      <c r="S36" s="76">
        <v>800000</v>
      </c>
      <c r="T36" s="68">
        <f t="shared" si="46"/>
        <v>13056000</v>
      </c>
      <c r="U36" s="76"/>
      <c r="V36" s="76">
        <v>800000</v>
      </c>
      <c r="W36" s="68">
        <f t="shared" si="47"/>
        <v>13856000</v>
      </c>
      <c r="X36" s="76"/>
      <c r="Y36" s="76">
        <v>800000</v>
      </c>
      <c r="Z36" s="68">
        <f t="shared" si="48"/>
        <v>14656000</v>
      </c>
      <c r="AA36" s="76"/>
      <c r="AB36" s="76">
        <v>800000</v>
      </c>
      <c r="AC36" s="68">
        <f t="shared" si="49"/>
        <v>15456000</v>
      </c>
      <c r="AD36" s="76"/>
      <c r="AE36" s="76">
        <v>800000</v>
      </c>
      <c r="AF36" s="68">
        <f t="shared" si="50"/>
        <v>16256000</v>
      </c>
      <c r="AG36" s="76"/>
      <c r="AH36" s="76">
        <v>800000</v>
      </c>
      <c r="AI36" s="68">
        <f t="shared" si="51"/>
        <v>17056000</v>
      </c>
      <c r="AJ36" s="76"/>
      <c r="AK36" s="76">
        <v>800000</v>
      </c>
      <c r="AL36" s="68">
        <f t="shared" si="52"/>
        <v>17856000</v>
      </c>
      <c r="AM36" s="77"/>
      <c r="AN36" s="78">
        <f t="shared" si="1"/>
        <v>18800000</v>
      </c>
      <c r="AO36" s="79">
        <f t="shared" si="2"/>
        <v>944000</v>
      </c>
      <c r="AP36" s="78">
        <f t="shared" si="3"/>
        <v>17856000</v>
      </c>
    </row>
    <row r="37" spans="1:43" x14ac:dyDescent="0.2">
      <c r="A37" s="37" t="s">
        <v>35</v>
      </c>
      <c r="B37" s="40"/>
      <c r="C37" s="40"/>
      <c r="D37" s="40"/>
      <c r="E37" s="76"/>
      <c r="F37" s="68">
        <f>VLOOKUP(A37,APR!$A$4:$K$99,11,0)</f>
        <v>0</v>
      </c>
      <c r="G37" s="76">
        <v>15000000</v>
      </c>
      <c r="H37" s="68">
        <f t="shared" si="42"/>
        <v>15000000</v>
      </c>
      <c r="I37" s="68">
        <f>VLOOKUP(A37,MAY!$A$4:$K$99,11,0)</f>
        <v>0</v>
      </c>
      <c r="J37" s="76">
        <v>15000000</v>
      </c>
      <c r="K37" s="68">
        <f t="shared" si="43"/>
        <v>30000000</v>
      </c>
      <c r="L37" s="68">
        <f>VLOOKUP(A37,JUN!$A$4:$K$99,11,0)</f>
        <v>0</v>
      </c>
      <c r="M37" s="76">
        <v>15000000</v>
      </c>
      <c r="N37" s="68">
        <f t="shared" si="44"/>
        <v>45000000</v>
      </c>
      <c r="O37" s="68">
        <f>VLOOKUP(A37,JUL!$A$4:$K$99,11,0)</f>
        <v>325090</v>
      </c>
      <c r="P37" s="76"/>
      <c r="Q37" s="68">
        <f t="shared" si="45"/>
        <v>44674910</v>
      </c>
      <c r="R37" s="76"/>
      <c r="S37" s="76"/>
      <c r="T37" s="68">
        <f t="shared" si="46"/>
        <v>44674910</v>
      </c>
      <c r="U37" s="76"/>
      <c r="V37" s="76"/>
      <c r="W37" s="68">
        <f t="shared" si="47"/>
        <v>44674910</v>
      </c>
      <c r="X37" s="76"/>
      <c r="Y37" s="76"/>
      <c r="Z37" s="68">
        <f t="shared" si="48"/>
        <v>44674910</v>
      </c>
      <c r="AA37" s="76"/>
      <c r="AB37" s="76"/>
      <c r="AC37" s="68">
        <f t="shared" si="49"/>
        <v>44674910</v>
      </c>
      <c r="AD37" s="76"/>
      <c r="AE37" s="76"/>
      <c r="AF37" s="68">
        <f t="shared" si="50"/>
        <v>44674910</v>
      </c>
      <c r="AG37" s="76"/>
      <c r="AH37" s="76"/>
      <c r="AI37" s="68">
        <f t="shared" si="51"/>
        <v>44674910</v>
      </c>
      <c r="AJ37" s="76"/>
      <c r="AK37" s="76"/>
      <c r="AL37" s="68">
        <f t="shared" si="52"/>
        <v>44674910</v>
      </c>
      <c r="AM37" s="77"/>
      <c r="AN37" s="78">
        <f t="shared" si="1"/>
        <v>45000000</v>
      </c>
      <c r="AO37" s="79">
        <f t="shared" si="2"/>
        <v>325090</v>
      </c>
      <c r="AP37" s="78">
        <f t="shared" si="3"/>
        <v>44674910</v>
      </c>
    </row>
    <row r="38" spans="1:43" x14ac:dyDescent="0.2">
      <c r="A38" s="37" t="s">
        <v>36</v>
      </c>
      <c r="B38" s="40"/>
      <c r="C38" s="40"/>
      <c r="D38" s="40"/>
      <c r="E38" s="76">
        <v>800000</v>
      </c>
      <c r="F38" s="68">
        <f>VLOOKUP(A38,APR!$A$4:$K$99,11,0)</f>
        <v>0</v>
      </c>
      <c r="G38" s="81">
        <v>300000</v>
      </c>
      <c r="H38" s="68">
        <f t="shared" si="42"/>
        <v>1100000</v>
      </c>
      <c r="I38" s="68">
        <f>VLOOKUP(A38,MAY!$A$4:$K$99,11,0)</f>
        <v>0</v>
      </c>
      <c r="J38" s="81">
        <v>300000</v>
      </c>
      <c r="K38" s="68">
        <f t="shared" si="43"/>
        <v>1400000</v>
      </c>
      <c r="L38" s="68">
        <f>VLOOKUP(A38,JUN!$A$4:$K$99,11,0)</f>
        <v>11859</v>
      </c>
      <c r="M38" s="81">
        <v>300000</v>
      </c>
      <c r="N38" s="68">
        <f t="shared" si="44"/>
        <v>1688141</v>
      </c>
      <c r="O38" s="68">
        <f>VLOOKUP(A38,JUL!$A$4:$K$99,11,0)</f>
        <v>0</v>
      </c>
      <c r="P38" s="81">
        <v>300000</v>
      </c>
      <c r="Q38" s="68">
        <f t="shared" si="45"/>
        <v>1988141</v>
      </c>
      <c r="R38" s="81"/>
      <c r="S38" s="81">
        <v>300000</v>
      </c>
      <c r="T38" s="68">
        <f t="shared" si="46"/>
        <v>2288141</v>
      </c>
      <c r="U38" s="81"/>
      <c r="V38" s="81">
        <v>300000</v>
      </c>
      <c r="W38" s="68">
        <f t="shared" si="47"/>
        <v>2588141</v>
      </c>
      <c r="X38" s="81"/>
      <c r="Y38" s="81">
        <v>300000</v>
      </c>
      <c r="Z38" s="68">
        <f t="shared" si="48"/>
        <v>2888141</v>
      </c>
      <c r="AA38" s="81"/>
      <c r="AB38" s="81">
        <v>300000</v>
      </c>
      <c r="AC38" s="68">
        <f t="shared" si="49"/>
        <v>3188141</v>
      </c>
      <c r="AD38" s="81"/>
      <c r="AE38" s="81">
        <v>300000</v>
      </c>
      <c r="AF38" s="68">
        <f t="shared" si="50"/>
        <v>3488141</v>
      </c>
      <c r="AG38" s="81"/>
      <c r="AH38" s="81">
        <v>300000</v>
      </c>
      <c r="AI38" s="68">
        <f t="shared" si="51"/>
        <v>3788141</v>
      </c>
      <c r="AJ38" s="81"/>
      <c r="AK38" s="81">
        <v>300000</v>
      </c>
      <c r="AL38" s="68">
        <f t="shared" si="52"/>
        <v>4088141</v>
      </c>
      <c r="AM38" s="91"/>
      <c r="AN38" s="92">
        <f t="shared" si="1"/>
        <v>4100000</v>
      </c>
      <c r="AO38" s="93">
        <f t="shared" si="2"/>
        <v>11859</v>
      </c>
      <c r="AP38" s="92">
        <f t="shared" si="3"/>
        <v>4088141</v>
      </c>
    </row>
    <row r="39" spans="1:43" x14ac:dyDescent="0.2">
      <c r="A39" s="38" t="s">
        <v>37</v>
      </c>
      <c r="B39" s="39"/>
      <c r="C39" s="39">
        <v>0</v>
      </c>
      <c r="D39" s="39"/>
      <c r="E39" s="43">
        <f>SUM(E40:E40)</f>
        <v>150000</v>
      </c>
      <c r="F39" s="43">
        <f t="shared" ref="F39:AM39" si="53">SUM(F40:F40)</f>
        <v>0</v>
      </c>
      <c r="G39" s="43">
        <f t="shared" si="53"/>
        <v>0</v>
      </c>
      <c r="H39" s="43">
        <f t="shared" si="53"/>
        <v>150000</v>
      </c>
      <c r="I39" s="43">
        <f t="shared" si="53"/>
        <v>0</v>
      </c>
      <c r="J39" s="43">
        <f t="shared" si="53"/>
        <v>50000</v>
      </c>
      <c r="K39" s="43">
        <f t="shared" si="53"/>
        <v>200000</v>
      </c>
      <c r="L39" s="43">
        <f t="shared" si="53"/>
        <v>0</v>
      </c>
      <c r="M39" s="43">
        <f t="shared" si="53"/>
        <v>0</v>
      </c>
      <c r="N39" s="43">
        <f t="shared" si="53"/>
        <v>200000</v>
      </c>
      <c r="O39" s="43">
        <f t="shared" si="53"/>
        <v>0</v>
      </c>
      <c r="P39" s="43">
        <f t="shared" si="53"/>
        <v>0</v>
      </c>
      <c r="Q39" s="43">
        <f t="shared" si="53"/>
        <v>200000</v>
      </c>
      <c r="R39" s="43">
        <f t="shared" si="53"/>
        <v>0</v>
      </c>
      <c r="S39" s="43">
        <f t="shared" si="53"/>
        <v>0</v>
      </c>
      <c r="T39" s="43">
        <f t="shared" si="53"/>
        <v>200000</v>
      </c>
      <c r="U39" s="43">
        <f t="shared" si="53"/>
        <v>0</v>
      </c>
      <c r="V39" s="43">
        <f t="shared" si="53"/>
        <v>0</v>
      </c>
      <c r="W39" s="43">
        <f t="shared" si="53"/>
        <v>200000</v>
      </c>
      <c r="X39" s="43">
        <f t="shared" si="53"/>
        <v>0</v>
      </c>
      <c r="Y39" s="43">
        <f t="shared" si="53"/>
        <v>0</v>
      </c>
      <c r="Z39" s="43">
        <f t="shared" si="53"/>
        <v>200000</v>
      </c>
      <c r="AA39" s="43">
        <f t="shared" si="53"/>
        <v>0</v>
      </c>
      <c r="AB39" s="43">
        <f t="shared" si="53"/>
        <v>0</v>
      </c>
      <c r="AC39" s="43">
        <f t="shared" si="53"/>
        <v>200000</v>
      </c>
      <c r="AD39" s="43">
        <f t="shared" si="53"/>
        <v>0</v>
      </c>
      <c r="AE39" s="43">
        <f t="shared" si="53"/>
        <v>0</v>
      </c>
      <c r="AF39" s="43">
        <f t="shared" si="53"/>
        <v>200000</v>
      </c>
      <c r="AG39" s="43">
        <f t="shared" si="53"/>
        <v>0</v>
      </c>
      <c r="AH39" s="43">
        <f t="shared" si="53"/>
        <v>0</v>
      </c>
      <c r="AI39" s="43">
        <f t="shared" si="53"/>
        <v>200000</v>
      </c>
      <c r="AJ39" s="43">
        <f t="shared" si="53"/>
        <v>0</v>
      </c>
      <c r="AK39" s="43">
        <f t="shared" si="53"/>
        <v>0</v>
      </c>
      <c r="AL39" s="43">
        <f t="shared" si="53"/>
        <v>200000</v>
      </c>
      <c r="AM39" s="43">
        <f t="shared" si="53"/>
        <v>0</v>
      </c>
      <c r="AN39" s="52">
        <f t="shared" si="1"/>
        <v>200000</v>
      </c>
      <c r="AO39" s="56">
        <f t="shared" si="2"/>
        <v>0</v>
      </c>
      <c r="AP39" s="52">
        <f t="shared" si="3"/>
        <v>200000</v>
      </c>
    </row>
    <row r="40" spans="1:43" x14ac:dyDescent="0.2">
      <c r="A40" s="37" t="s">
        <v>38</v>
      </c>
      <c r="B40" s="40"/>
      <c r="C40" s="40"/>
      <c r="D40" s="40"/>
      <c r="E40" s="81">
        <v>150000</v>
      </c>
      <c r="F40" s="68">
        <f>VLOOKUP(A40,APR!$A$4:$K$99,11,0)</f>
        <v>0</v>
      </c>
      <c r="G40" s="81"/>
      <c r="H40" s="68">
        <f>E40-F40+G40</f>
        <v>150000</v>
      </c>
      <c r="I40" s="68">
        <f>VLOOKUP(A40,MAY!$A$4:$K$99,11,0)</f>
        <v>0</v>
      </c>
      <c r="J40" s="80">
        <v>50000</v>
      </c>
      <c r="K40" s="68">
        <f>H40-I40+J40</f>
        <v>200000</v>
      </c>
      <c r="L40" s="68">
        <f>VLOOKUP(A40,JUN!$A$4:$K$99,11,0)</f>
        <v>0</v>
      </c>
      <c r="M40" s="84"/>
      <c r="N40" s="68">
        <f>K40-L40+M40</f>
        <v>200000</v>
      </c>
      <c r="O40" s="68">
        <f>VLOOKUP(A40,JUL!$A$4:$K$99,11,0)</f>
        <v>0</v>
      </c>
      <c r="P40" s="84"/>
      <c r="Q40" s="68">
        <f>N40-O40+P40</f>
        <v>200000</v>
      </c>
      <c r="R40" s="84"/>
      <c r="S40" s="83"/>
      <c r="T40" s="68">
        <f>Q40-R40+S40</f>
        <v>200000</v>
      </c>
      <c r="U40" s="83"/>
      <c r="V40" s="83"/>
      <c r="W40" s="68">
        <f>T40-U40+V40</f>
        <v>200000</v>
      </c>
      <c r="X40" s="83"/>
      <c r="Y40" s="83"/>
      <c r="Z40" s="68">
        <f>W40-X40+Y40</f>
        <v>200000</v>
      </c>
      <c r="AA40" s="83"/>
      <c r="AB40" s="83"/>
      <c r="AC40" s="68">
        <f>Z40-AA40+AB40</f>
        <v>200000</v>
      </c>
      <c r="AD40" s="83"/>
      <c r="AE40" s="83"/>
      <c r="AF40" s="68">
        <f>AC40-AD40+AE40</f>
        <v>200000</v>
      </c>
      <c r="AG40" s="83"/>
      <c r="AH40" s="83"/>
      <c r="AI40" s="68">
        <f>AF40-AG40+AH40</f>
        <v>200000</v>
      </c>
      <c r="AJ40" s="83"/>
      <c r="AK40" s="83"/>
      <c r="AL40" s="68">
        <f>AI40-AJ40+AK40</f>
        <v>200000</v>
      </c>
      <c r="AM40" s="94"/>
      <c r="AN40" s="95">
        <f t="shared" si="1"/>
        <v>200000</v>
      </c>
      <c r="AO40" s="96">
        <f t="shared" si="2"/>
        <v>0</v>
      </c>
      <c r="AP40" s="95">
        <f t="shared" si="3"/>
        <v>200000</v>
      </c>
    </row>
    <row r="41" spans="1:43" x14ac:dyDescent="0.2">
      <c r="A41" s="38" t="s">
        <v>39</v>
      </c>
      <c r="B41" s="39"/>
      <c r="C41" s="39"/>
      <c r="D41" s="39"/>
      <c r="E41" s="43">
        <f>E42</f>
        <v>1000000</v>
      </c>
      <c r="F41" s="43">
        <f t="shared" ref="F41:AM41" si="54">F42</f>
        <v>0</v>
      </c>
      <c r="G41" s="43">
        <f t="shared" si="54"/>
        <v>10000000</v>
      </c>
      <c r="H41" s="43">
        <f t="shared" si="54"/>
        <v>11000000</v>
      </c>
      <c r="I41" s="43">
        <f t="shared" si="54"/>
        <v>0</v>
      </c>
      <c r="J41" s="43">
        <f t="shared" si="54"/>
        <v>0</v>
      </c>
      <c r="K41" s="43">
        <f t="shared" si="54"/>
        <v>11000000</v>
      </c>
      <c r="L41" s="43">
        <f t="shared" si="54"/>
        <v>0</v>
      </c>
      <c r="M41" s="43">
        <f t="shared" si="54"/>
        <v>3000000</v>
      </c>
      <c r="N41" s="43">
        <f t="shared" si="54"/>
        <v>14000000</v>
      </c>
      <c r="O41" s="43">
        <f t="shared" si="54"/>
        <v>6018000</v>
      </c>
      <c r="P41" s="43">
        <f t="shared" si="54"/>
        <v>0</v>
      </c>
      <c r="Q41" s="43">
        <f t="shared" si="54"/>
        <v>7982000</v>
      </c>
      <c r="R41" s="43">
        <f t="shared" si="54"/>
        <v>0</v>
      </c>
      <c r="S41" s="43">
        <f t="shared" si="54"/>
        <v>3000000</v>
      </c>
      <c r="T41" s="43">
        <f t="shared" si="54"/>
        <v>10982000</v>
      </c>
      <c r="U41" s="43">
        <f t="shared" si="54"/>
        <v>0</v>
      </c>
      <c r="V41" s="43">
        <f t="shared" si="54"/>
        <v>0</v>
      </c>
      <c r="W41" s="43">
        <f t="shared" si="54"/>
        <v>10982000</v>
      </c>
      <c r="X41" s="43">
        <f t="shared" si="54"/>
        <v>0</v>
      </c>
      <c r="Y41" s="43">
        <f t="shared" si="54"/>
        <v>3000000</v>
      </c>
      <c r="Z41" s="43">
        <f t="shared" si="54"/>
        <v>13982000</v>
      </c>
      <c r="AA41" s="43">
        <f t="shared" si="54"/>
        <v>0</v>
      </c>
      <c r="AB41" s="43">
        <f t="shared" si="54"/>
        <v>0</v>
      </c>
      <c r="AC41" s="43">
        <f t="shared" si="54"/>
        <v>13982000</v>
      </c>
      <c r="AD41" s="43">
        <f t="shared" si="54"/>
        <v>0</v>
      </c>
      <c r="AE41" s="43">
        <f t="shared" si="54"/>
        <v>0</v>
      </c>
      <c r="AF41" s="43">
        <f t="shared" si="54"/>
        <v>13982000</v>
      </c>
      <c r="AG41" s="43">
        <f t="shared" si="54"/>
        <v>0</v>
      </c>
      <c r="AH41" s="43">
        <f t="shared" si="54"/>
        <v>10000000</v>
      </c>
      <c r="AI41" s="43">
        <f t="shared" si="54"/>
        <v>23982000</v>
      </c>
      <c r="AJ41" s="43">
        <f t="shared" si="54"/>
        <v>0</v>
      </c>
      <c r="AK41" s="43">
        <f t="shared" si="54"/>
        <v>0</v>
      </c>
      <c r="AL41" s="43">
        <f t="shared" si="54"/>
        <v>23982000</v>
      </c>
      <c r="AM41" s="43">
        <f t="shared" si="54"/>
        <v>0</v>
      </c>
      <c r="AN41" s="97">
        <f t="shared" si="1"/>
        <v>30000000</v>
      </c>
      <c r="AO41" s="98">
        <f t="shared" si="2"/>
        <v>6018000</v>
      </c>
      <c r="AP41" s="97">
        <f t="shared" si="3"/>
        <v>23982000</v>
      </c>
    </row>
    <row r="42" spans="1:43" x14ac:dyDescent="0.2">
      <c r="A42" s="37" t="s">
        <v>40</v>
      </c>
      <c r="B42" s="40"/>
      <c r="C42" s="40"/>
      <c r="D42" s="40"/>
      <c r="E42" s="81">
        <v>1000000</v>
      </c>
      <c r="F42" s="68">
        <f>VLOOKUP(A42,APR!$A$4:$K$99,11,0)</f>
        <v>0</v>
      </c>
      <c r="G42" s="81">
        <v>10000000</v>
      </c>
      <c r="H42" s="68">
        <f>E42-F42+G42</f>
        <v>11000000</v>
      </c>
      <c r="I42" s="68">
        <f>VLOOKUP(A42,MAY!$A$4:$K$99,11,0)</f>
        <v>0</v>
      </c>
      <c r="J42" s="80"/>
      <c r="K42" s="68">
        <f>H42-I42+J42</f>
        <v>11000000</v>
      </c>
      <c r="L42" s="68">
        <f>VLOOKUP(A42,JUN!$A$4:$K$99,11,0)</f>
        <v>0</v>
      </c>
      <c r="M42" s="83">
        <v>3000000</v>
      </c>
      <c r="N42" s="68">
        <f>K42-L42+M42</f>
        <v>14000000</v>
      </c>
      <c r="O42" s="68">
        <f>VLOOKUP(A42,JUL!$A$4:$K$99,11,0)</f>
        <v>6018000</v>
      </c>
      <c r="P42" s="84"/>
      <c r="Q42" s="68">
        <f>N42-O42+P42</f>
        <v>7982000</v>
      </c>
      <c r="R42" s="84"/>
      <c r="S42" s="83">
        <v>3000000</v>
      </c>
      <c r="T42" s="68">
        <f>Q42-R42+S42</f>
        <v>10982000</v>
      </c>
      <c r="U42" s="83"/>
      <c r="V42" s="83"/>
      <c r="W42" s="68">
        <f>T42-U42+V42</f>
        <v>10982000</v>
      </c>
      <c r="X42" s="83"/>
      <c r="Y42" s="83">
        <v>3000000</v>
      </c>
      <c r="Z42" s="68">
        <f>W42-X42+Y42</f>
        <v>13982000</v>
      </c>
      <c r="AA42" s="83"/>
      <c r="AB42" s="83"/>
      <c r="AC42" s="68">
        <f>Z42-AA42+AB42</f>
        <v>13982000</v>
      </c>
      <c r="AD42" s="83"/>
      <c r="AE42" s="83"/>
      <c r="AF42" s="68">
        <f>AC42-AD42+AE42</f>
        <v>13982000</v>
      </c>
      <c r="AG42" s="83"/>
      <c r="AH42" s="83">
        <v>10000000</v>
      </c>
      <c r="AI42" s="68">
        <f>AF42-AG42+AH42</f>
        <v>23982000</v>
      </c>
      <c r="AJ42" s="83"/>
      <c r="AK42" s="83"/>
      <c r="AL42" s="68">
        <f>AI42-AJ42+AK42</f>
        <v>23982000</v>
      </c>
      <c r="AM42" s="94"/>
      <c r="AN42" s="95">
        <f t="shared" si="1"/>
        <v>30000000</v>
      </c>
      <c r="AO42" s="96">
        <f t="shared" si="2"/>
        <v>6018000</v>
      </c>
      <c r="AP42" s="95">
        <f t="shared" si="3"/>
        <v>23982000</v>
      </c>
    </row>
    <row r="43" spans="1:43" x14ac:dyDescent="0.2">
      <c r="A43" s="38" t="s">
        <v>41</v>
      </c>
      <c r="B43" s="39">
        <v>62341</v>
      </c>
      <c r="C43" s="39">
        <v>2.63</v>
      </c>
      <c r="D43" s="39">
        <v>11</v>
      </c>
      <c r="E43" s="39">
        <f>SUM(E44:E49)</f>
        <v>17280000</v>
      </c>
      <c r="F43" s="39">
        <f t="shared" ref="F43:AM43" si="55">SUM(F44:F49)</f>
        <v>0</v>
      </c>
      <c r="G43" s="39">
        <f t="shared" si="55"/>
        <v>5150000</v>
      </c>
      <c r="H43" s="39">
        <f t="shared" si="55"/>
        <v>22430000</v>
      </c>
      <c r="I43" s="39">
        <f t="shared" si="55"/>
        <v>0</v>
      </c>
      <c r="J43" s="39">
        <f t="shared" si="55"/>
        <v>5150000</v>
      </c>
      <c r="K43" s="39">
        <f t="shared" si="55"/>
        <v>27580000</v>
      </c>
      <c r="L43" s="39">
        <f t="shared" si="55"/>
        <v>141600</v>
      </c>
      <c r="M43" s="39">
        <f t="shared" si="55"/>
        <v>6950000</v>
      </c>
      <c r="N43" s="39">
        <f t="shared" si="55"/>
        <v>34388400</v>
      </c>
      <c r="O43" s="39">
        <f t="shared" si="55"/>
        <v>0</v>
      </c>
      <c r="P43" s="39">
        <f t="shared" si="55"/>
        <v>5150000</v>
      </c>
      <c r="Q43" s="39">
        <f t="shared" si="55"/>
        <v>39538400</v>
      </c>
      <c r="R43" s="39">
        <f t="shared" si="55"/>
        <v>0</v>
      </c>
      <c r="S43" s="39">
        <f t="shared" si="55"/>
        <v>3665200</v>
      </c>
      <c r="T43" s="39">
        <f t="shared" si="55"/>
        <v>43203600</v>
      </c>
      <c r="U43" s="39">
        <f t="shared" si="55"/>
        <v>0</v>
      </c>
      <c r="V43" s="39">
        <f t="shared" si="55"/>
        <v>950000</v>
      </c>
      <c r="W43" s="39">
        <f t="shared" si="55"/>
        <v>44153600</v>
      </c>
      <c r="X43" s="39">
        <f t="shared" si="55"/>
        <v>0</v>
      </c>
      <c r="Y43" s="39">
        <f t="shared" si="55"/>
        <v>650000</v>
      </c>
      <c r="Z43" s="39">
        <f t="shared" si="55"/>
        <v>44803600</v>
      </c>
      <c r="AA43" s="39">
        <f t="shared" si="55"/>
        <v>0</v>
      </c>
      <c r="AB43" s="39">
        <f t="shared" si="55"/>
        <v>150000</v>
      </c>
      <c r="AC43" s="39">
        <f t="shared" si="55"/>
        <v>44953600</v>
      </c>
      <c r="AD43" s="39">
        <f t="shared" si="55"/>
        <v>0</v>
      </c>
      <c r="AE43" s="39">
        <f t="shared" si="55"/>
        <v>950000</v>
      </c>
      <c r="AF43" s="39">
        <f t="shared" si="55"/>
        <v>45903600</v>
      </c>
      <c r="AG43" s="39">
        <f t="shared" si="55"/>
        <v>0</v>
      </c>
      <c r="AH43" s="39">
        <f t="shared" si="55"/>
        <v>150000</v>
      </c>
      <c r="AI43" s="39">
        <f t="shared" si="55"/>
        <v>46053600</v>
      </c>
      <c r="AJ43" s="39">
        <f t="shared" si="55"/>
        <v>0</v>
      </c>
      <c r="AK43" s="39">
        <f t="shared" si="55"/>
        <v>150000</v>
      </c>
      <c r="AL43" s="39">
        <f t="shared" si="55"/>
        <v>46203600</v>
      </c>
      <c r="AM43" s="39">
        <f t="shared" si="55"/>
        <v>0</v>
      </c>
      <c r="AN43" s="51">
        <f t="shared" si="1"/>
        <v>46345200</v>
      </c>
      <c r="AO43" s="55">
        <f t="shared" si="2"/>
        <v>141600</v>
      </c>
      <c r="AP43" s="51">
        <f t="shared" si="3"/>
        <v>46203600</v>
      </c>
    </row>
    <row r="44" spans="1:43" x14ac:dyDescent="0.2">
      <c r="A44" s="42" t="s">
        <v>42</v>
      </c>
      <c r="B44" s="44"/>
      <c r="C44" s="44"/>
      <c r="D44" s="44"/>
      <c r="E44" s="76">
        <v>3000000</v>
      </c>
      <c r="F44" s="68">
        <f>VLOOKUP(A44,APR!$A$4:$K$99,11,0)</f>
        <v>0</v>
      </c>
      <c r="G44" s="76"/>
      <c r="H44" s="68">
        <f t="shared" ref="H44:H49" si="56">E44-F44+G44</f>
        <v>3000000</v>
      </c>
      <c r="I44" s="68">
        <f>VLOOKUP(A44,MAY!$A$4:$K$99,11,0)</f>
        <v>0</v>
      </c>
      <c r="J44" s="76"/>
      <c r="K44" s="68">
        <f t="shared" ref="K44:K49" si="57">H44-I44+J44</f>
        <v>3000000</v>
      </c>
      <c r="L44" s="68">
        <f>VLOOKUP(A44,JUN!$A$4:$K$99,11,0)</f>
        <v>0</v>
      </c>
      <c r="M44" s="76">
        <v>800000</v>
      </c>
      <c r="N44" s="68">
        <f t="shared" ref="N44:N49" si="58">K44-L44+M44</f>
        <v>3800000</v>
      </c>
      <c r="O44" s="68">
        <f>VLOOKUP(A44,JUL!$A$4:$K$99,11,0)</f>
        <v>0</v>
      </c>
      <c r="P44" s="76"/>
      <c r="Q44" s="68">
        <f t="shared" ref="Q44:Q49" si="59">N44-O44+P44</f>
        <v>3800000</v>
      </c>
      <c r="R44" s="76"/>
      <c r="S44" s="76"/>
      <c r="T44" s="68">
        <f t="shared" ref="T44:T49" si="60">Q44-R44+S44</f>
        <v>3800000</v>
      </c>
      <c r="U44" s="76"/>
      <c r="V44" s="76">
        <v>800000</v>
      </c>
      <c r="W44" s="68">
        <f t="shared" ref="W44:W49" si="61">T44-U44+V44</f>
        <v>4600000</v>
      </c>
      <c r="X44" s="76"/>
      <c r="Y44" s="84"/>
      <c r="Z44" s="68">
        <f t="shared" ref="Z44:Z49" si="62">W44-X44+Y44</f>
        <v>4600000</v>
      </c>
      <c r="AA44" s="84"/>
      <c r="AB44" s="76"/>
      <c r="AC44" s="68">
        <f t="shared" ref="AC44:AC49" si="63">Z44-AA44+AB44</f>
        <v>4600000</v>
      </c>
      <c r="AD44" s="76"/>
      <c r="AE44" s="76">
        <v>800000</v>
      </c>
      <c r="AF44" s="68">
        <f t="shared" ref="AF44:AF49" si="64">AC44-AD44+AE44</f>
        <v>5400000</v>
      </c>
      <c r="AG44" s="76"/>
      <c r="AH44" s="76"/>
      <c r="AI44" s="68">
        <f t="shared" ref="AI44:AI49" si="65">AF44-AG44+AH44</f>
        <v>5400000</v>
      </c>
      <c r="AJ44" s="76"/>
      <c r="AK44" s="76"/>
      <c r="AL44" s="68">
        <f t="shared" ref="AL44:AL49" si="66">AI44-AJ44+AK44</f>
        <v>5400000</v>
      </c>
      <c r="AM44" s="77"/>
      <c r="AN44" s="78">
        <f t="shared" si="1"/>
        <v>5400000</v>
      </c>
      <c r="AO44" s="79">
        <f t="shared" si="2"/>
        <v>0</v>
      </c>
      <c r="AP44" s="78">
        <f t="shared" si="3"/>
        <v>5400000</v>
      </c>
      <c r="AQ44" s="79" t="s">
        <v>43</v>
      </c>
    </row>
    <row r="45" spans="1:43" x14ac:dyDescent="0.2">
      <c r="A45" s="42" t="s">
        <v>44</v>
      </c>
      <c r="B45" s="44"/>
      <c r="C45" s="44"/>
      <c r="D45" s="44"/>
      <c r="E45" s="99"/>
      <c r="F45" s="68">
        <f>VLOOKUP(A45,APR!$A$4:$K$99,11,0)</f>
        <v>0</v>
      </c>
      <c r="G45" s="76"/>
      <c r="H45" s="68">
        <f t="shared" si="56"/>
        <v>0</v>
      </c>
      <c r="I45" s="68">
        <f>VLOOKUP(A45,MAY!$A$4:$K$99,11,0)</f>
        <v>0</v>
      </c>
      <c r="J45" s="76"/>
      <c r="K45" s="68">
        <f t="shared" si="57"/>
        <v>0</v>
      </c>
      <c r="L45" s="68">
        <f>VLOOKUP(A45,JUN!$A$4:$K$99,11,0)</f>
        <v>0</v>
      </c>
      <c r="M45" s="76">
        <v>1000000</v>
      </c>
      <c r="N45" s="68">
        <f t="shared" si="58"/>
        <v>1000000</v>
      </c>
      <c r="O45" s="68">
        <f>VLOOKUP(A45,JUL!$A$4:$K$99,11,0)</f>
        <v>0</v>
      </c>
      <c r="P45" s="76"/>
      <c r="Q45" s="68">
        <f t="shared" si="59"/>
        <v>1000000</v>
      </c>
      <c r="R45" s="76"/>
      <c r="S45" s="100"/>
      <c r="T45" s="68">
        <f t="shared" si="60"/>
        <v>1000000</v>
      </c>
      <c r="U45" s="100"/>
      <c r="V45" s="100"/>
      <c r="W45" s="68">
        <f t="shared" si="61"/>
        <v>1000000</v>
      </c>
      <c r="X45" s="100"/>
      <c r="Y45" s="100">
        <v>500000</v>
      </c>
      <c r="Z45" s="68">
        <f t="shared" si="62"/>
        <v>1500000</v>
      </c>
      <c r="AA45" s="100"/>
      <c r="AB45" s="100"/>
      <c r="AC45" s="68">
        <f t="shared" si="63"/>
        <v>1500000</v>
      </c>
      <c r="AD45" s="100"/>
      <c r="AE45" s="100"/>
      <c r="AF45" s="68">
        <f t="shared" si="64"/>
        <v>1500000</v>
      </c>
      <c r="AG45" s="100"/>
      <c r="AH45" s="100"/>
      <c r="AI45" s="68">
        <f t="shared" si="65"/>
        <v>1500000</v>
      </c>
      <c r="AJ45" s="100"/>
      <c r="AK45" s="100"/>
      <c r="AL45" s="68">
        <f t="shared" si="66"/>
        <v>1500000</v>
      </c>
      <c r="AM45" s="101"/>
      <c r="AN45" s="102">
        <f t="shared" si="1"/>
        <v>1500000</v>
      </c>
      <c r="AO45" s="103">
        <f t="shared" si="2"/>
        <v>0</v>
      </c>
      <c r="AP45" s="102">
        <f t="shared" si="3"/>
        <v>1500000</v>
      </c>
      <c r="AQ45" s="103" t="s">
        <v>45</v>
      </c>
    </row>
    <row r="46" spans="1:43" x14ac:dyDescent="0.2">
      <c r="A46" s="42" t="s">
        <v>46</v>
      </c>
      <c r="B46" s="44"/>
      <c r="C46" s="44"/>
      <c r="D46" s="44"/>
      <c r="E46" s="76">
        <v>100000</v>
      </c>
      <c r="F46" s="68">
        <f>VLOOKUP(A46,APR!$A$4:$K$99,11,0)</f>
        <v>0</v>
      </c>
      <c r="G46" s="76">
        <v>100000</v>
      </c>
      <c r="H46" s="68">
        <f t="shared" si="56"/>
        <v>200000</v>
      </c>
      <c r="I46" s="68">
        <f>VLOOKUP(A46,MAY!$A$4:$K$99,11,0)</f>
        <v>0</v>
      </c>
      <c r="J46" s="76">
        <v>100000</v>
      </c>
      <c r="K46" s="68">
        <f t="shared" si="57"/>
        <v>300000</v>
      </c>
      <c r="L46" s="68">
        <f>VLOOKUP(A46,JUN!$A$4:$K$99,11,0)</f>
        <v>0</v>
      </c>
      <c r="M46" s="76">
        <v>100000</v>
      </c>
      <c r="N46" s="68">
        <f t="shared" si="58"/>
        <v>400000</v>
      </c>
      <c r="O46" s="68">
        <f>VLOOKUP(A46,JUL!$A$4:$K$99,11,0)</f>
        <v>0</v>
      </c>
      <c r="P46" s="76">
        <v>100000</v>
      </c>
      <c r="Q46" s="68">
        <f t="shared" si="59"/>
        <v>500000</v>
      </c>
      <c r="R46" s="76"/>
      <c r="S46" s="76">
        <v>100000</v>
      </c>
      <c r="T46" s="68">
        <f t="shared" si="60"/>
        <v>600000</v>
      </c>
      <c r="U46" s="76"/>
      <c r="V46" s="76">
        <v>100000</v>
      </c>
      <c r="W46" s="68">
        <f t="shared" si="61"/>
        <v>700000</v>
      </c>
      <c r="X46" s="76"/>
      <c r="Y46" s="76">
        <v>100000</v>
      </c>
      <c r="Z46" s="68">
        <f t="shared" si="62"/>
        <v>800000</v>
      </c>
      <c r="AA46" s="76"/>
      <c r="AB46" s="76">
        <v>100000</v>
      </c>
      <c r="AC46" s="68">
        <f t="shared" si="63"/>
        <v>900000</v>
      </c>
      <c r="AD46" s="76"/>
      <c r="AE46" s="76">
        <v>100000</v>
      </c>
      <c r="AF46" s="68">
        <f t="shared" si="64"/>
        <v>1000000</v>
      </c>
      <c r="AG46" s="76"/>
      <c r="AH46" s="76">
        <v>100000</v>
      </c>
      <c r="AI46" s="68">
        <f t="shared" si="65"/>
        <v>1100000</v>
      </c>
      <c r="AJ46" s="76"/>
      <c r="AK46" s="76">
        <v>100000</v>
      </c>
      <c r="AL46" s="68">
        <f t="shared" si="66"/>
        <v>1200000</v>
      </c>
      <c r="AM46" s="77"/>
      <c r="AN46" s="78">
        <f t="shared" si="1"/>
        <v>1200000</v>
      </c>
      <c r="AO46" s="79">
        <f t="shared" si="2"/>
        <v>0</v>
      </c>
      <c r="AP46" s="78">
        <f t="shared" si="3"/>
        <v>1200000</v>
      </c>
      <c r="AQ46" s="79" t="s">
        <v>47</v>
      </c>
    </row>
    <row r="47" spans="1:43" x14ac:dyDescent="0.2">
      <c r="A47" s="42" t="s">
        <v>48</v>
      </c>
      <c r="B47" s="44"/>
      <c r="C47" s="44"/>
      <c r="D47" s="44"/>
      <c r="E47" s="76">
        <f>6000000+3130000</f>
        <v>9130000</v>
      </c>
      <c r="F47" s="68">
        <f>VLOOKUP(A47,APR!$A$4:$K$99,11,0)</f>
        <v>0</v>
      </c>
      <c r="G47" s="76"/>
      <c r="H47" s="68">
        <f t="shared" si="56"/>
        <v>9130000</v>
      </c>
      <c r="I47" s="68">
        <f>VLOOKUP(A47,MAY!$A$4:$K$99,11,0)</f>
        <v>0</v>
      </c>
      <c r="J47" s="76"/>
      <c r="K47" s="68">
        <f t="shared" si="57"/>
        <v>9130000</v>
      </c>
      <c r="L47" s="68">
        <f>VLOOKUP(A47,JUN!$A$4:$K$99,11,0)</f>
        <v>141600</v>
      </c>
      <c r="M47" s="76"/>
      <c r="N47" s="68">
        <f t="shared" si="58"/>
        <v>8988400</v>
      </c>
      <c r="O47" s="68">
        <f>VLOOKUP(A47,JUL!$A$4:$K$99,11,0)</f>
        <v>0</v>
      </c>
      <c r="P47" s="76"/>
      <c r="Q47" s="68">
        <f t="shared" si="59"/>
        <v>8988400</v>
      </c>
      <c r="R47" s="76"/>
      <c r="S47" s="76"/>
      <c r="T47" s="68">
        <f t="shared" si="60"/>
        <v>8988400</v>
      </c>
      <c r="U47" s="76"/>
      <c r="V47" s="76"/>
      <c r="W47" s="68">
        <f t="shared" si="61"/>
        <v>8988400</v>
      </c>
      <c r="X47" s="76"/>
      <c r="Y47" s="76"/>
      <c r="Z47" s="68">
        <f t="shared" si="62"/>
        <v>8988400</v>
      </c>
      <c r="AA47" s="76"/>
      <c r="AB47" s="76"/>
      <c r="AC47" s="68">
        <f t="shared" si="63"/>
        <v>8988400</v>
      </c>
      <c r="AD47" s="76"/>
      <c r="AE47" s="76"/>
      <c r="AF47" s="68">
        <f t="shared" si="64"/>
        <v>8988400</v>
      </c>
      <c r="AG47" s="76"/>
      <c r="AH47" s="76"/>
      <c r="AI47" s="68">
        <f t="shared" si="65"/>
        <v>8988400</v>
      </c>
      <c r="AJ47" s="76"/>
      <c r="AK47" s="76"/>
      <c r="AL47" s="68">
        <f t="shared" si="66"/>
        <v>8988400</v>
      </c>
      <c r="AM47" s="77"/>
      <c r="AN47" s="78">
        <f t="shared" si="1"/>
        <v>9130000</v>
      </c>
      <c r="AO47" s="79">
        <f t="shared" si="2"/>
        <v>141600</v>
      </c>
      <c r="AP47" s="78">
        <f t="shared" si="3"/>
        <v>8988400</v>
      </c>
      <c r="AQ47" s="79" t="s">
        <v>49</v>
      </c>
    </row>
    <row r="48" spans="1:43" x14ac:dyDescent="0.2">
      <c r="A48" s="42" t="s">
        <v>50</v>
      </c>
      <c r="B48" s="44"/>
      <c r="C48" s="44"/>
      <c r="D48" s="44"/>
      <c r="E48" s="76">
        <v>50000</v>
      </c>
      <c r="F48" s="68">
        <f>VLOOKUP(A48,APR!$A$4:$K$99,11,0)</f>
        <v>0</v>
      </c>
      <c r="G48" s="76">
        <v>50000</v>
      </c>
      <c r="H48" s="68">
        <f t="shared" si="56"/>
        <v>100000</v>
      </c>
      <c r="I48" s="68">
        <f>VLOOKUP(A48,MAY!$A$4:$K$99,11,0)</f>
        <v>0</v>
      </c>
      <c r="J48" s="76">
        <v>50000</v>
      </c>
      <c r="K48" s="68">
        <f t="shared" si="57"/>
        <v>150000</v>
      </c>
      <c r="L48" s="68">
        <f>VLOOKUP(A48,JUN!$A$4:$K$99,11,0)</f>
        <v>0</v>
      </c>
      <c r="M48" s="76">
        <v>50000</v>
      </c>
      <c r="N48" s="68">
        <f t="shared" si="58"/>
        <v>200000</v>
      </c>
      <c r="O48" s="68">
        <f>VLOOKUP(A48,JUL!$A$4:$K$99,11,0)</f>
        <v>0</v>
      </c>
      <c r="P48" s="76">
        <v>50000</v>
      </c>
      <c r="Q48" s="68">
        <f t="shared" si="59"/>
        <v>250000</v>
      </c>
      <c r="R48" s="76"/>
      <c r="S48" s="76">
        <v>50000</v>
      </c>
      <c r="T48" s="68">
        <f t="shared" si="60"/>
        <v>300000</v>
      </c>
      <c r="U48" s="76"/>
      <c r="V48" s="76">
        <v>50000</v>
      </c>
      <c r="W48" s="68">
        <f t="shared" si="61"/>
        <v>350000</v>
      </c>
      <c r="X48" s="76"/>
      <c r="Y48" s="76">
        <v>50000</v>
      </c>
      <c r="Z48" s="68">
        <f t="shared" si="62"/>
        <v>400000</v>
      </c>
      <c r="AA48" s="76"/>
      <c r="AB48" s="76">
        <v>50000</v>
      </c>
      <c r="AC48" s="68">
        <f t="shared" si="63"/>
        <v>450000</v>
      </c>
      <c r="AD48" s="76"/>
      <c r="AE48" s="76">
        <v>50000</v>
      </c>
      <c r="AF48" s="68">
        <f t="shared" si="64"/>
        <v>500000</v>
      </c>
      <c r="AG48" s="76"/>
      <c r="AH48" s="76">
        <v>50000</v>
      </c>
      <c r="AI48" s="68">
        <f t="shared" si="65"/>
        <v>550000</v>
      </c>
      <c r="AJ48" s="76"/>
      <c r="AK48" s="76">
        <v>50000</v>
      </c>
      <c r="AL48" s="68">
        <f t="shared" si="66"/>
        <v>600000</v>
      </c>
      <c r="AM48" s="77"/>
      <c r="AN48" s="78">
        <f t="shared" si="1"/>
        <v>600000</v>
      </c>
      <c r="AO48" s="79">
        <f t="shared" si="2"/>
        <v>0</v>
      </c>
      <c r="AP48" s="78">
        <f t="shared" si="3"/>
        <v>600000</v>
      </c>
      <c r="AQ48" s="79" t="s">
        <v>51</v>
      </c>
    </row>
    <row r="49" spans="1:42" x14ac:dyDescent="0.2">
      <c r="A49" s="42" t="s">
        <v>52</v>
      </c>
      <c r="B49" s="44"/>
      <c r="C49" s="44"/>
      <c r="D49" s="44"/>
      <c r="E49" s="76">
        <v>5000000</v>
      </c>
      <c r="F49" s="68">
        <f>VLOOKUP(A49,APR!$A$4:$K$99,11,0)</f>
        <v>0</v>
      </c>
      <c r="G49" s="76">
        <v>5000000</v>
      </c>
      <c r="H49" s="68">
        <f t="shared" si="56"/>
        <v>10000000</v>
      </c>
      <c r="I49" s="68">
        <f>VLOOKUP(A49,MAY!$A$4:$K$99,11,0)</f>
        <v>0</v>
      </c>
      <c r="J49" s="76">
        <v>5000000</v>
      </c>
      <c r="K49" s="68">
        <f t="shared" si="57"/>
        <v>15000000</v>
      </c>
      <c r="L49" s="68">
        <f>VLOOKUP(A49,JUN!$A$4:$K$99,11,0)</f>
        <v>0</v>
      </c>
      <c r="M49" s="76">
        <v>5000000</v>
      </c>
      <c r="N49" s="68">
        <f t="shared" si="58"/>
        <v>20000000</v>
      </c>
      <c r="O49" s="68">
        <f>VLOOKUP(A49,JUL!$A$4:$K$99,11,0)</f>
        <v>0</v>
      </c>
      <c r="P49" s="76">
        <v>5000000</v>
      </c>
      <c r="Q49" s="68">
        <f t="shared" si="59"/>
        <v>25000000</v>
      </c>
      <c r="R49" s="76"/>
      <c r="S49" s="76">
        <v>3515200</v>
      </c>
      <c r="T49" s="68">
        <f t="shared" si="60"/>
        <v>28515200</v>
      </c>
      <c r="U49" s="76"/>
      <c r="V49" s="76"/>
      <c r="W49" s="68">
        <f t="shared" si="61"/>
        <v>28515200</v>
      </c>
      <c r="X49" s="76"/>
      <c r="Y49" s="76"/>
      <c r="Z49" s="68">
        <f t="shared" si="62"/>
        <v>28515200</v>
      </c>
      <c r="AA49" s="76"/>
      <c r="AB49" s="76"/>
      <c r="AC49" s="68">
        <f t="shared" si="63"/>
        <v>28515200</v>
      </c>
      <c r="AD49" s="76"/>
      <c r="AE49" s="76"/>
      <c r="AF49" s="68">
        <f t="shared" si="64"/>
        <v>28515200</v>
      </c>
      <c r="AG49" s="76"/>
      <c r="AH49" s="76"/>
      <c r="AI49" s="68">
        <f t="shared" si="65"/>
        <v>28515200</v>
      </c>
      <c r="AJ49" s="76"/>
      <c r="AK49" s="76"/>
      <c r="AL49" s="68">
        <f t="shared" si="66"/>
        <v>28515200</v>
      </c>
      <c r="AM49" s="77"/>
      <c r="AN49" s="78">
        <f t="shared" si="1"/>
        <v>28515200</v>
      </c>
      <c r="AO49" s="79">
        <f t="shared" si="2"/>
        <v>0</v>
      </c>
      <c r="AP49" s="78">
        <f t="shared" si="3"/>
        <v>28515200</v>
      </c>
    </row>
    <row r="50" spans="1:42" x14ac:dyDescent="0.2">
      <c r="A50" s="38" t="s">
        <v>43</v>
      </c>
      <c r="B50" s="39"/>
      <c r="C50" s="39"/>
      <c r="D50" s="39"/>
      <c r="E50" s="39">
        <f>SUM(E51:E54)</f>
        <v>9900000</v>
      </c>
      <c r="F50" s="39">
        <f t="shared" ref="F50:AM50" si="67">SUM(F51:F54)</f>
        <v>0</v>
      </c>
      <c r="G50" s="39">
        <f t="shared" si="67"/>
        <v>0</v>
      </c>
      <c r="H50" s="39">
        <f t="shared" si="67"/>
        <v>9900000</v>
      </c>
      <c r="I50" s="39">
        <f t="shared" si="67"/>
        <v>2612460</v>
      </c>
      <c r="J50" s="39">
        <f t="shared" si="67"/>
        <v>0</v>
      </c>
      <c r="K50" s="39">
        <f t="shared" si="67"/>
        <v>7287540</v>
      </c>
      <c r="L50" s="39">
        <f t="shared" si="67"/>
        <v>2865756.36</v>
      </c>
      <c r="M50" s="39">
        <f t="shared" si="67"/>
        <v>0</v>
      </c>
      <c r="N50" s="39">
        <f t="shared" si="67"/>
        <v>4421783.6400000006</v>
      </c>
      <c r="O50" s="39">
        <f t="shared" si="67"/>
        <v>5658731.7300000004</v>
      </c>
      <c r="P50" s="39">
        <f t="shared" si="67"/>
        <v>0</v>
      </c>
      <c r="Q50" s="39">
        <f t="shared" si="67"/>
        <v>-1236948.0900000003</v>
      </c>
      <c r="R50" s="39">
        <f t="shared" si="67"/>
        <v>0</v>
      </c>
      <c r="S50" s="39">
        <f t="shared" si="67"/>
        <v>0</v>
      </c>
      <c r="T50" s="39">
        <f t="shared" si="67"/>
        <v>-1236948.0900000003</v>
      </c>
      <c r="U50" s="39">
        <f t="shared" si="67"/>
        <v>0</v>
      </c>
      <c r="V50" s="39">
        <f t="shared" si="67"/>
        <v>0</v>
      </c>
      <c r="W50" s="39">
        <f t="shared" si="67"/>
        <v>-1236948.0900000003</v>
      </c>
      <c r="X50" s="39">
        <f t="shared" si="67"/>
        <v>0</v>
      </c>
      <c r="Y50" s="39">
        <f t="shared" si="67"/>
        <v>0</v>
      </c>
      <c r="Z50" s="39">
        <f t="shared" si="67"/>
        <v>-1236948.0900000003</v>
      </c>
      <c r="AA50" s="39">
        <f t="shared" si="67"/>
        <v>0</v>
      </c>
      <c r="AB50" s="39">
        <f t="shared" si="67"/>
        <v>0</v>
      </c>
      <c r="AC50" s="39">
        <f t="shared" si="67"/>
        <v>-1236948.0900000003</v>
      </c>
      <c r="AD50" s="39">
        <f t="shared" si="67"/>
        <v>0</v>
      </c>
      <c r="AE50" s="39">
        <f t="shared" si="67"/>
        <v>0</v>
      </c>
      <c r="AF50" s="39">
        <f t="shared" si="67"/>
        <v>-1236948.0900000003</v>
      </c>
      <c r="AG50" s="39">
        <f t="shared" si="67"/>
        <v>0</v>
      </c>
      <c r="AH50" s="39">
        <f t="shared" si="67"/>
        <v>0</v>
      </c>
      <c r="AI50" s="39">
        <f t="shared" si="67"/>
        <v>-1236948.0900000003</v>
      </c>
      <c r="AJ50" s="39">
        <f t="shared" si="67"/>
        <v>0</v>
      </c>
      <c r="AK50" s="39">
        <f t="shared" si="67"/>
        <v>0</v>
      </c>
      <c r="AL50" s="39">
        <f t="shared" si="67"/>
        <v>-1236948.0900000003</v>
      </c>
      <c r="AM50" s="39">
        <f t="shared" si="67"/>
        <v>0</v>
      </c>
      <c r="AN50" s="51">
        <f t="shared" si="1"/>
        <v>9900000</v>
      </c>
      <c r="AO50" s="55">
        <f t="shared" si="2"/>
        <v>11136948.09</v>
      </c>
      <c r="AP50" s="51">
        <f t="shared" si="3"/>
        <v>-1236948.0899999999</v>
      </c>
    </row>
    <row r="51" spans="1:42" x14ac:dyDescent="0.2">
      <c r="A51" s="42" t="s">
        <v>47</v>
      </c>
      <c r="B51" s="44"/>
      <c r="C51" s="44"/>
      <c r="D51" s="44"/>
      <c r="E51" s="76">
        <v>2000000</v>
      </c>
      <c r="F51" s="68">
        <f>VLOOKUP(A51,APR!$A$4:$K$99,11,0)</f>
        <v>0</v>
      </c>
      <c r="G51" s="76"/>
      <c r="H51" s="68">
        <f t="shared" ref="H51:H54" si="68">E51-F51+G51</f>
        <v>2000000</v>
      </c>
      <c r="I51" s="68">
        <f>VLOOKUP(A51,MAY!$A$4:$K$99,11,0)</f>
        <v>2034260</v>
      </c>
      <c r="J51" s="76"/>
      <c r="K51" s="68">
        <f t="shared" ref="K51:K54" si="69">H51-I51+J51</f>
        <v>-34260</v>
      </c>
      <c r="L51" s="68">
        <f>VLOOKUP(A51,JUN!$A$4:$K$99,11,0)</f>
        <v>0</v>
      </c>
      <c r="M51" s="76"/>
      <c r="N51" s="68">
        <f t="shared" ref="N51:N54" si="70">K51-L51+M51</f>
        <v>-34260</v>
      </c>
      <c r="O51" s="68">
        <f>VLOOKUP(A51,JUL!$A$4:$K$99,11,0)</f>
        <v>0</v>
      </c>
      <c r="P51" s="76"/>
      <c r="Q51" s="68">
        <f t="shared" ref="Q51:Q54" si="71">N51-O51+P51</f>
        <v>-34260</v>
      </c>
      <c r="R51" s="76"/>
      <c r="S51" s="76"/>
      <c r="T51" s="68">
        <f t="shared" ref="T51:T54" si="72">Q51-R51+S51</f>
        <v>-34260</v>
      </c>
      <c r="U51" s="76"/>
      <c r="V51" s="76"/>
      <c r="W51" s="68">
        <f t="shared" ref="W51:W54" si="73">T51-U51+V51</f>
        <v>-34260</v>
      </c>
      <c r="X51" s="76"/>
      <c r="Y51" s="76"/>
      <c r="Z51" s="68">
        <f t="shared" ref="Z51:Z54" si="74">W51-X51+Y51</f>
        <v>-34260</v>
      </c>
      <c r="AA51" s="76"/>
      <c r="AB51" s="76"/>
      <c r="AC51" s="68">
        <f t="shared" ref="AC51:AC54" si="75">Z51-AA51+AB51</f>
        <v>-34260</v>
      </c>
      <c r="AD51" s="76"/>
      <c r="AE51" s="76"/>
      <c r="AF51" s="68">
        <f t="shared" ref="AF51:AF54" si="76">AC51-AD51+AE51</f>
        <v>-34260</v>
      </c>
      <c r="AG51" s="76"/>
      <c r="AH51" s="76"/>
      <c r="AI51" s="68">
        <f t="shared" ref="AI51:AI54" si="77">AF51-AG51+AH51</f>
        <v>-34260</v>
      </c>
      <c r="AJ51" s="76"/>
      <c r="AK51" s="76"/>
      <c r="AL51" s="68">
        <f t="shared" ref="AL51:AL54" si="78">AI51-AJ51+AK51</f>
        <v>-34260</v>
      </c>
      <c r="AM51" s="77"/>
      <c r="AN51" s="78">
        <f t="shared" si="1"/>
        <v>2000000</v>
      </c>
      <c r="AO51" s="79">
        <f t="shared" si="2"/>
        <v>2034260</v>
      </c>
      <c r="AP51" s="78">
        <f t="shared" si="3"/>
        <v>-34260</v>
      </c>
    </row>
    <row r="52" spans="1:42" x14ac:dyDescent="0.2">
      <c r="A52" s="42" t="s">
        <v>45</v>
      </c>
      <c r="B52" s="44"/>
      <c r="C52" s="44"/>
      <c r="D52" s="44"/>
      <c r="E52" s="76">
        <v>4500000</v>
      </c>
      <c r="F52" s="68">
        <f>VLOOKUP(A52,APR!$A$4:$K$99,11,0)</f>
        <v>0</v>
      </c>
      <c r="G52" s="76"/>
      <c r="H52" s="68">
        <f t="shared" si="68"/>
        <v>4500000</v>
      </c>
      <c r="I52" s="68">
        <f>VLOOKUP(A52,MAY!$A$4:$K$99,11,0)</f>
        <v>0</v>
      </c>
      <c r="J52" s="76"/>
      <c r="K52" s="68">
        <f t="shared" si="69"/>
        <v>4500000</v>
      </c>
      <c r="L52" s="68">
        <f>VLOOKUP(A52,JUN!$A$4:$K$99,11,0)</f>
        <v>2865756.36</v>
      </c>
      <c r="M52" s="76"/>
      <c r="N52" s="68">
        <f t="shared" si="70"/>
        <v>1634243.6400000001</v>
      </c>
      <c r="O52" s="68">
        <f>VLOOKUP(A52,JUL!$A$4:$K$99,11,0)</f>
        <v>5658731.7300000004</v>
      </c>
      <c r="P52" s="76"/>
      <c r="Q52" s="68">
        <f t="shared" si="71"/>
        <v>-4024488.0900000003</v>
      </c>
      <c r="R52" s="76"/>
      <c r="S52" s="76"/>
      <c r="T52" s="68">
        <f t="shared" si="72"/>
        <v>-4024488.0900000003</v>
      </c>
      <c r="U52" s="76"/>
      <c r="V52" s="76"/>
      <c r="W52" s="68">
        <f t="shared" si="73"/>
        <v>-4024488.0900000003</v>
      </c>
      <c r="X52" s="76"/>
      <c r="Y52" s="76"/>
      <c r="Z52" s="68">
        <f t="shared" si="74"/>
        <v>-4024488.0900000003</v>
      </c>
      <c r="AA52" s="76"/>
      <c r="AB52" s="76"/>
      <c r="AC52" s="68">
        <f t="shared" si="75"/>
        <v>-4024488.0900000003</v>
      </c>
      <c r="AD52" s="76"/>
      <c r="AE52" s="76"/>
      <c r="AF52" s="68">
        <f t="shared" si="76"/>
        <v>-4024488.0900000003</v>
      </c>
      <c r="AG52" s="76"/>
      <c r="AH52" s="76"/>
      <c r="AI52" s="68">
        <f t="shared" si="77"/>
        <v>-4024488.0900000003</v>
      </c>
      <c r="AJ52" s="76"/>
      <c r="AK52" s="76"/>
      <c r="AL52" s="68">
        <f t="shared" si="78"/>
        <v>-4024488.0900000003</v>
      </c>
      <c r="AM52" s="77"/>
      <c r="AN52" s="78">
        <f t="shared" si="1"/>
        <v>4500000</v>
      </c>
      <c r="AO52" s="79">
        <f t="shared" si="2"/>
        <v>8524488.0899999999</v>
      </c>
      <c r="AP52" s="78">
        <f t="shared" si="3"/>
        <v>-4024488.09</v>
      </c>
    </row>
    <row r="53" spans="1:42" x14ac:dyDescent="0.2">
      <c r="A53" s="42" t="s">
        <v>49</v>
      </c>
      <c r="B53" s="44"/>
      <c r="C53" s="44"/>
      <c r="D53" s="44"/>
      <c r="E53" s="76">
        <v>2800000</v>
      </c>
      <c r="F53" s="68">
        <f>VLOOKUP(A53,APR!$A$4:$K$99,11,0)</f>
        <v>0</v>
      </c>
      <c r="G53" s="76"/>
      <c r="H53" s="68">
        <f t="shared" si="68"/>
        <v>2800000</v>
      </c>
      <c r="I53" s="68">
        <f>VLOOKUP(A53,MAY!$A$4:$K$99,11,0)</f>
        <v>578200</v>
      </c>
      <c r="J53" s="76"/>
      <c r="K53" s="68">
        <f t="shared" si="69"/>
        <v>2221800</v>
      </c>
      <c r="L53" s="68">
        <f>VLOOKUP(A53,JUN!$A$4:$K$99,11,0)</f>
        <v>0</v>
      </c>
      <c r="M53" s="76"/>
      <c r="N53" s="68">
        <f t="shared" si="70"/>
        <v>2221800</v>
      </c>
      <c r="O53" s="68">
        <f>VLOOKUP(A53,JUL!$A$4:$K$99,11,0)</f>
        <v>0</v>
      </c>
      <c r="P53" s="76"/>
      <c r="Q53" s="68">
        <f t="shared" si="71"/>
        <v>2221800</v>
      </c>
      <c r="R53" s="76"/>
      <c r="S53" s="76"/>
      <c r="T53" s="68">
        <f t="shared" si="72"/>
        <v>2221800</v>
      </c>
      <c r="U53" s="76"/>
      <c r="V53" s="76"/>
      <c r="W53" s="68">
        <f t="shared" si="73"/>
        <v>2221800</v>
      </c>
      <c r="X53" s="76"/>
      <c r="Y53" s="76"/>
      <c r="Z53" s="68">
        <f t="shared" si="74"/>
        <v>2221800</v>
      </c>
      <c r="AA53" s="76"/>
      <c r="AB53" s="76"/>
      <c r="AC53" s="68">
        <f t="shared" si="75"/>
        <v>2221800</v>
      </c>
      <c r="AD53" s="76"/>
      <c r="AE53" s="76"/>
      <c r="AF53" s="68">
        <f t="shared" si="76"/>
        <v>2221800</v>
      </c>
      <c r="AG53" s="76"/>
      <c r="AH53" s="76"/>
      <c r="AI53" s="68">
        <f t="shared" si="77"/>
        <v>2221800</v>
      </c>
      <c r="AJ53" s="76"/>
      <c r="AK53" s="76"/>
      <c r="AL53" s="68">
        <f t="shared" si="78"/>
        <v>2221800</v>
      </c>
      <c r="AM53" s="77"/>
      <c r="AN53" s="78">
        <f t="shared" si="1"/>
        <v>2800000</v>
      </c>
      <c r="AO53" s="79">
        <f t="shared" si="2"/>
        <v>578200</v>
      </c>
      <c r="AP53" s="78">
        <f t="shared" si="3"/>
        <v>2221800</v>
      </c>
    </row>
    <row r="54" spans="1:42" x14ac:dyDescent="0.2">
      <c r="A54" s="42" t="s">
        <v>51</v>
      </c>
      <c r="B54" s="44"/>
      <c r="C54" s="44"/>
      <c r="D54" s="44"/>
      <c r="E54" s="76">
        <v>600000</v>
      </c>
      <c r="F54" s="68">
        <f>VLOOKUP(A54,APR!$A$4:$K$99,11,0)</f>
        <v>0</v>
      </c>
      <c r="G54" s="76"/>
      <c r="H54" s="68">
        <f t="shared" si="68"/>
        <v>600000</v>
      </c>
      <c r="I54" s="68">
        <f>VLOOKUP(A54,MAY!$A$4:$K$99,11,0)</f>
        <v>0</v>
      </c>
      <c r="J54" s="76"/>
      <c r="K54" s="68">
        <f t="shared" si="69"/>
        <v>600000</v>
      </c>
      <c r="L54" s="68">
        <f>VLOOKUP(A54,JUN!$A$4:$K$99,11,0)</f>
        <v>0</v>
      </c>
      <c r="M54" s="76"/>
      <c r="N54" s="68">
        <f t="shared" si="70"/>
        <v>600000</v>
      </c>
      <c r="O54" s="68">
        <f>VLOOKUP(A54,JUL!$A$4:$K$99,11,0)</f>
        <v>0</v>
      </c>
      <c r="P54" s="76"/>
      <c r="Q54" s="68">
        <f t="shared" si="71"/>
        <v>600000</v>
      </c>
      <c r="R54" s="76"/>
      <c r="S54" s="76"/>
      <c r="T54" s="68">
        <f t="shared" si="72"/>
        <v>600000</v>
      </c>
      <c r="U54" s="76"/>
      <c r="V54" s="76"/>
      <c r="W54" s="68">
        <f t="shared" si="73"/>
        <v>600000</v>
      </c>
      <c r="X54" s="76"/>
      <c r="Y54" s="76"/>
      <c r="Z54" s="68">
        <f t="shared" si="74"/>
        <v>600000</v>
      </c>
      <c r="AA54" s="76"/>
      <c r="AB54" s="76"/>
      <c r="AC54" s="68">
        <f t="shared" si="75"/>
        <v>600000</v>
      </c>
      <c r="AD54" s="76"/>
      <c r="AE54" s="76"/>
      <c r="AF54" s="68">
        <f t="shared" si="76"/>
        <v>600000</v>
      </c>
      <c r="AG54" s="76"/>
      <c r="AH54" s="76"/>
      <c r="AI54" s="68">
        <f t="shared" si="77"/>
        <v>600000</v>
      </c>
      <c r="AJ54" s="76"/>
      <c r="AK54" s="76"/>
      <c r="AL54" s="68">
        <f t="shared" si="78"/>
        <v>600000</v>
      </c>
      <c r="AM54" s="77"/>
      <c r="AN54" s="78">
        <f t="shared" si="1"/>
        <v>600000</v>
      </c>
      <c r="AO54" s="79">
        <f t="shared" si="2"/>
        <v>0</v>
      </c>
      <c r="AP54" s="78">
        <f t="shared" si="3"/>
        <v>600000</v>
      </c>
    </row>
    <row r="55" spans="1:42" s="2" customFormat="1" ht="15" x14ac:dyDescent="0.2">
      <c r="A55" s="38" t="s">
        <v>53</v>
      </c>
      <c r="B55" s="40"/>
      <c r="C55" s="40"/>
      <c r="D55" s="40"/>
      <c r="E55" s="43">
        <f t="shared" ref="E55:AM55" si="79">SUM(E56:E67)</f>
        <v>0</v>
      </c>
      <c r="F55" s="43">
        <f t="shared" si="79"/>
        <v>1156400</v>
      </c>
      <c r="G55" s="43">
        <f t="shared" si="79"/>
        <v>0</v>
      </c>
      <c r="H55" s="43">
        <f t="shared" si="79"/>
        <v>-1156400</v>
      </c>
      <c r="I55" s="43">
        <f t="shared" si="79"/>
        <v>32511207.699999999</v>
      </c>
      <c r="J55" s="43">
        <f t="shared" si="79"/>
        <v>0</v>
      </c>
      <c r="K55" s="43">
        <f t="shared" si="79"/>
        <v>-33667607.700000003</v>
      </c>
      <c r="L55" s="43">
        <f t="shared" si="79"/>
        <v>1024111.9199999999</v>
      </c>
      <c r="M55" s="43">
        <f t="shared" si="79"/>
        <v>8050000</v>
      </c>
      <c r="N55" s="43">
        <f t="shared" si="79"/>
        <v>-26641719.619999997</v>
      </c>
      <c r="O55" s="43">
        <f t="shared" si="79"/>
        <v>448400</v>
      </c>
      <c r="P55" s="43">
        <f t="shared" si="79"/>
        <v>0</v>
      </c>
      <c r="Q55" s="43">
        <f t="shared" si="79"/>
        <v>-27090119.619999997</v>
      </c>
      <c r="R55" s="43">
        <f t="shared" si="79"/>
        <v>0</v>
      </c>
      <c r="S55" s="43">
        <f t="shared" si="79"/>
        <v>0</v>
      </c>
      <c r="T55" s="43">
        <f t="shared" si="79"/>
        <v>-27090119.619999997</v>
      </c>
      <c r="U55" s="43">
        <f t="shared" si="79"/>
        <v>0</v>
      </c>
      <c r="V55" s="43">
        <f t="shared" si="79"/>
        <v>0</v>
      </c>
      <c r="W55" s="43">
        <f t="shared" si="79"/>
        <v>-27090119.619999997</v>
      </c>
      <c r="X55" s="43">
        <f t="shared" si="79"/>
        <v>0</v>
      </c>
      <c r="Y55" s="43">
        <f t="shared" si="79"/>
        <v>0</v>
      </c>
      <c r="Z55" s="43">
        <f t="shared" si="79"/>
        <v>-27090119.619999997</v>
      </c>
      <c r="AA55" s="43">
        <f t="shared" si="79"/>
        <v>0</v>
      </c>
      <c r="AB55" s="43">
        <f t="shared" si="79"/>
        <v>0</v>
      </c>
      <c r="AC55" s="43">
        <f t="shared" si="79"/>
        <v>-27090119.619999997</v>
      </c>
      <c r="AD55" s="43">
        <f t="shared" si="79"/>
        <v>0</v>
      </c>
      <c r="AE55" s="43">
        <f t="shared" si="79"/>
        <v>0</v>
      </c>
      <c r="AF55" s="43">
        <f t="shared" si="79"/>
        <v>-27090119.619999997</v>
      </c>
      <c r="AG55" s="43">
        <f t="shared" si="79"/>
        <v>0</v>
      </c>
      <c r="AH55" s="43">
        <f t="shared" si="79"/>
        <v>0</v>
      </c>
      <c r="AI55" s="43">
        <f t="shared" si="79"/>
        <v>-27090119.619999997</v>
      </c>
      <c r="AJ55" s="43">
        <f t="shared" si="79"/>
        <v>0</v>
      </c>
      <c r="AK55" s="43">
        <f t="shared" si="79"/>
        <v>0</v>
      </c>
      <c r="AL55" s="43">
        <f t="shared" si="79"/>
        <v>-27090119.619999997</v>
      </c>
      <c r="AM55" s="43">
        <f t="shared" si="79"/>
        <v>0</v>
      </c>
      <c r="AN55" s="53">
        <f t="shared" si="1"/>
        <v>8050000</v>
      </c>
      <c r="AO55" s="57">
        <f t="shared" si="2"/>
        <v>35140119.620000005</v>
      </c>
      <c r="AP55" s="53">
        <f t="shared" si="3"/>
        <v>-27090119.620000005</v>
      </c>
    </row>
    <row r="56" spans="1:42" x14ac:dyDescent="0.2">
      <c r="A56" s="37" t="s">
        <v>54</v>
      </c>
      <c r="B56" s="40"/>
      <c r="C56" s="40"/>
      <c r="D56" s="40"/>
      <c r="E56" s="83"/>
      <c r="F56" s="68">
        <f>VLOOKUP(A56,APR!$A$4:$K$99,11,0)</f>
        <v>0</v>
      </c>
      <c r="G56" s="83"/>
      <c r="H56" s="68">
        <f t="shared" ref="H56:H67" si="80">E56-F56+G56</f>
        <v>0</v>
      </c>
      <c r="I56" s="68">
        <f>VLOOKUP(A56,MAY!$A$4:$K$99,11,0)</f>
        <v>21373716</v>
      </c>
      <c r="J56" s="83"/>
      <c r="K56" s="68">
        <f t="shared" ref="K56:K67" si="81">H56-I56+J56</f>
        <v>-21373716</v>
      </c>
      <c r="L56" s="68">
        <f>VLOOKUP(A56,JUN!$A$4:$K$99,11,0)</f>
        <v>0</v>
      </c>
      <c r="M56" s="83">
        <v>1000000</v>
      </c>
      <c r="N56" s="68">
        <f t="shared" ref="N56:N67" si="82">K56-L56+M56</f>
        <v>-20373716</v>
      </c>
      <c r="O56" s="68">
        <f>VLOOKUP(A56,JUL!$A$4:$K$99,11,0)</f>
        <v>0</v>
      </c>
      <c r="P56" s="83"/>
      <c r="Q56" s="68">
        <f t="shared" ref="Q56:Q67" si="83">N56-O56+P56</f>
        <v>-20373716</v>
      </c>
      <c r="R56" s="83"/>
      <c r="S56" s="83"/>
      <c r="T56" s="68">
        <f t="shared" ref="T56:T67" si="84">Q56-R56+S56</f>
        <v>-20373716</v>
      </c>
      <c r="U56" s="83"/>
      <c r="V56" s="83"/>
      <c r="W56" s="68">
        <f t="shared" ref="W56:W67" si="85">T56-U56+V56</f>
        <v>-20373716</v>
      </c>
      <c r="X56" s="83"/>
      <c r="Y56" s="83"/>
      <c r="Z56" s="68">
        <f t="shared" ref="Z56:Z67" si="86">W56-X56+Y56</f>
        <v>-20373716</v>
      </c>
      <c r="AA56" s="83"/>
      <c r="AB56" s="83"/>
      <c r="AC56" s="68">
        <f t="shared" ref="AC56:AC67" si="87">Z56-AA56+AB56</f>
        <v>-20373716</v>
      </c>
      <c r="AD56" s="83"/>
      <c r="AE56" s="83"/>
      <c r="AF56" s="68">
        <f t="shared" ref="AF56:AF67" si="88">AC56-AD56+AE56</f>
        <v>-20373716</v>
      </c>
      <c r="AG56" s="83"/>
      <c r="AH56" s="83"/>
      <c r="AI56" s="68">
        <f t="shared" ref="AI56:AI67" si="89">AF56-AG56+AH56</f>
        <v>-20373716</v>
      </c>
      <c r="AJ56" s="83"/>
      <c r="AK56" s="83"/>
      <c r="AL56" s="68">
        <f t="shared" ref="AL56:AL67" si="90">AI56-AJ56+AK56</f>
        <v>-20373716</v>
      </c>
      <c r="AM56" s="94"/>
      <c r="AN56" s="95">
        <f t="shared" si="1"/>
        <v>1000000</v>
      </c>
      <c r="AO56" s="96">
        <f t="shared" si="2"/>
        <v>21373716</v>
      </c>
      <c r="AP56" s="95">
        <f t="shared" si="3"/>
        <v>-20373716</v>
      </c>
    </row>
    <row r="57" spans="1:42" x14ac:dyDescent="0.2">
      <c r="A57" s="37" t="s">
        <v>55</v>
      </c>
      <c r="B57" s="40"/>
      <c r="C57" s="40"/>
      <c r="D57" s="40"/>
      <c r="E57" s="83"/>
      <c r="F57" s="68">
        <f>VLOOKUP(A57,APR!$A$4:$K$99,11,0)</f>
        <v>0</v>
      </c>
      <c r="G57" s="83"/>
      <c r="H57" s="68">
        <f t="shared" si="80"/>
        <v>0</v>
      </c>
      <c r="I57" s="68">
        <f>VLOOKUP(A57,MAY!$A$4:$K$99,11,0)</f>
        <v>0</v>
      </c>
      <c r="J57" s="83"/>
      <c r="K57" s="68">
        <f t="shared" si="81"/>
        <v>0</v>
      </c>
      <c r="L57" s="68">
        <f>VLOOKUP(A57,JUN!$A$4:$K$99,11,0)</f>
        <v>0</v>
      </c>
      <c r="M57" s="83">
        <v>500000</v>
      </c>
      <c r="N57" s="68">
        <f t="shared" si="82"/>
        <v>500000</v>
      </c>
      <c r="O57" s="68">
        <f>VLOOKUP(A57,JUL!$A$4:$K$99,11,0)</f>
        <v>0</v>
      </c>
      <c r="P57" s="83"/>
      <c r="Q57" s="68">
        <f t="shared" si="83"/>
        <v>500000</v>
      </c>
      <c r="R57" s="83"/>
      <c r="S57" s="83"/>
      <c r="T57" s="68">
        <f t="shared" si="84"/>
        <v>500000</v>
      </c>
      <c r="U57" s="83"/>
      <c r="V57" s="83"/>
      <c r="W57" s="68">
        <f t="shared" si="85"/>
        <v>500000</v>
      </c>
      <c r="X57" s="83"/>
      <c r="Y57" s="83"/>
      <c r="Z57" s="68">
        <f t="shared" si="86"/>
        <v>500000</v>
      </c>
      <c r="AA57" s="83"/>
      <c r="AB57" s="83"/>
      <c r="AC57" s="68">
        <f t="shared" si="87"/>
        <v>500000</v>
      </c>
      <c r="AD57" s="83"/>
      <c r="AE57" s="83"/>
      <c r="AF57" s="68">
        <f t="shared" si="88"/>
        <v>500000</v>
      </c>
      <c r="AG57" s="83"/>
      <c r="AH57" s="83"/>
      <c r="AI57" s="68">
        <f t="shared" si="89"/>
        <v>500000</v>
      </c>
      <c r="AJ57" s="83"/>
      <c r="AK57" s="83"/>
      <c r="AL57" s="68">
        <f t="shared" si="90"/>
        <v>500000</v>
      </c>
      <c r="AM57" s="94"/>
      <c r="AN57" s="95">
        <f t="shared" si="1"/>
        <v>500000</v>
      </c>
      <c r="AO57" s="96">
        <f t="shared" si="2"/>
        <v>0</v>
      </c>
      <c r="AP57" s="95">
        <f t="shared" si="3"/>
        <v>500000</v>
      </c>
    </row>
    <row r="58" spans="1:42" x14ac:dyDescent="0.2">
      <c r="A58" s="37" t="s">
        <v>56</v>
      </c>
      <c r="B58" s="40"/>
      <c r="C58" s="40"/>
      <c r="D58" s="40"/>
      <c r="E58" s="83"/>
      <c r="F58" s="68">
        <f>VLOOKUP(A58,APR!$A$4:$K$99,11,0)</f>
        <v>0</v>
      </c>
      <c r="G58" s="83"/>
      <c r="H58" s="68">
        <f t="shared" si="80"/>
        <v>0</v>
      </c>
      <c r="I58" s="68">
        <f>VLOOKUP(A58,MAY!$A$4:$K$99,11,0)</f>
        <v>0</v>
      </c>
      <c r="J58" s="83"/>
      <c r="K58" s="68">
        <f t="shared" si="81"/>
        <v>0</v>
      </c>
      <c r="L58" s="68">
        <f>VLOOKUP(A58,JUN!$A$4:$K$99,11,0)</f>
        <v>0</v>
      </c>
      <c r="M58" s="83">
        <v>300000</v>
      </c>
      <c r="N58" s="68">
        <f t="shared" si="82"/>
        <v>300000</v>
      </c>
      <c r="O58" s="68">
        <f>VLOOKUP(A58,JUL!$A$4:$K$99,11,0)</f>
        <v>0</v>
      </c>
      <c r="P58" s="83"/>
      <c r="Q58" s="68">
        <f t="shared" si="83"/>
        <v>300000</v>
      </c>
      <c r="R58" s="83"/>
      <c r="S58" s="83"/>
      <c r="T58" s="68">
        <f t="shared" si="84"/>
        <v>300000</v>
      </c>
      <c r="U58" s="83"/>
      <c r="V58" s="83"/>
      <c r="W58" s="68">
        <f t="shared" si="85"/>
        <v>300000</v>
      </c>
      <c r="X58" s="83"/>
      <c r="Y58" s="83"/>
      <c r="Z58" s="68">
        <f t="shared" si="86"/>
        <v>300000</v>
      </c>
      <c r="AA58" s="83"/>
      <c r="AB58" s="83"/>
      <c r="AC58" s="68">
        <f t="shared" si="87"/>
        <v>300000</v>
      </c>
      <c r="AD58" s="83"/>
      <c r="AE58" s="83"/>
      <c r="AF58" s="68">
        <f t="shared" si="88"/>
        <v>300000</v>
      </c>
      <c r="AG58" s="83"/>
      <c r="AH58" s="83"/>
      <c r="AI58" s="68">
        <f t="shared" si="89"/>
        <v>300000</v>
      </c>
      <c r="AJ58" s="83"/>
      <c r="AK58" s="83"/>
      <c r="AL58" s="68">
        <f t="shared" si="90"/>
        <v>300000</v>
      </c>
      <c r="AM58" s="94"/>
      <c r="AN58" s="95">
        <f t="shared" si="1"/>
        <v>300000</v>
      </c>
      <c r="AO58" s="96">
        <f t="shared" si="2"/>
        <v>0</v>
      </c>
      <c r="AP58" s="95">
        <f t="shared" si="3"/>
        <v>300000</v>
      </c>
    </row>
    <row r="59" spans="1:42" x14ac:dyDescent="0.2">
      <c r="A59" s="37" t="s">
        <v>57</v>
      </c>
      <c r="B59" s="40"/>
      <c r="C59" s="40"/>
      <c r="D59" s="40"/>
      <c r="E59" s="83"/>
      <c r="F59" s="68">
        <f>VLOOKUP(A59,APR!$A$4:$K$99,11,0)</f>
        <v>1156400</v>
      </c>
      <c r="G59" s="83"/>
      <c r="H59" s="68">
        <f t="shared" si="80"/>
        <v>-1156400</v>
      </c>
      <c r="I59" s="68">
        <f>VLOOKUP(A59,MAY!$A$4:$K$99,11,0)</f>
        <v>1287586.7999999998</v>
      </c>
      <c r="J59" s="83"/>
      <c r="K59" s="68">
        <f t="shared" si="81"/>
        <v>-2443986.7999999998</v>
      </c>
      <c r="L59" s="68">
        <f>VLOOKUP(A59,JUN!$A$4:$K$99,11,0)</f>
        <v>714971.91999999993</v>
      </c>
      <c r="M59" s="83">
        <v>2000000</v>
      </c>
      <c r="N59" s="68">
        <f t="shared" si="82"/>
        <v>-1158958.7199999997</v>
      </c>
      <c r="O59" s="68">
        <f>VLOOKUP(A59,JUL!$A$4:$K$99,11,0)</f>
        <v>448400</v>
      </c>
      <c r="P59" s="83"/>
      <c r="Q59" s="68">
        <f t="shared" si="83"/>
        <v>-1607358.7199999997</v>
      </c>
      <c r="R59" s="83"/>
      <c r="S59" s="83"/>
      <c r="T59" s="68">
        <f t="shared" si="84"/>
        <v>-1607358.7199999997</v>
      </c>
      <c r="U59" s="83"/>
      <c r="V59" s="83"/>
      <c r="W59" s="68">
        <f t="shared" si="85"/>
        <v>-1607358.7199999997</v>
      </c>
      <c r="X59" s="83"/>
      <c r="Y59" s="83"/>
      <c r="Z59" s="68">
        <f t="shared" si="86"/>
        <v>-1607358.7199999997</v>
      </c>
      <c r="AA59" s="83"/>
      <c r="AB59" s="83"/>
      <c r="AC59" s="68">
        <f t="shared" si="87"/>
        <v>-1607358.7199999997</v>
      </c>
      <c r="AD59" s="83"/>
      <c r="AE59" s="83"/>
      <c r="AF59" s="68">
        <f t="shared" si="88"/>
        <v>-1607358.7199999997</v>
      </c>
      <c r="AG59" s="83"/>
      <c r="AH59" s="83"/>
      <c r="AI59" s="68">
        <f t="shared" si="89"/>
        <v>-1607358.7199999997</v>
      </c>
      <c r="AJ59" s="83"/>
      <c r="AK59" s="83"/>
      <c r="AL59" s="68">
        <f t="shared" si="90"/>
        <v>-1607358.7199999997</v>
      </c>
      <c r="AM59" s="94"/>
      <c r="AN59" s="95">
        <f t="shared" si="1"/>
        <v>2000000</v>
      </c>
      <c r="AO59" s="96">
        <f t="shared" si="2"/>
        <v>3607358.7199999997</v>
      </c>
      <c r="AP59" s="95">
        <f t="shared" si="3"/>
        <v>-1607358.7199999997</v>
      </c>
    </row>
    <row r="60" spans="1:42" x14ac:dyDescent="0.2">
      <c r="A60" s="37" t="s">
        <v>58</v>
      </c>
      <c r="B60" s="40"/>
      <c r="C60" s="40"/>
      <c r="D60" s="40"/>
      <c r="E60" s="83"/>
      <c r="F60" s="68">
        <f>VLOOKUP(A60,APR!$A$4:$K$99,11,0)</f>
        <v>0</v>
      </c>
      <c r="G60" s="83"/>
      <c r="H60" s="68">
        <f t="shared" si="80"/>
        <v>0</v>
      </c>
      <c r="I60" s="68">
        <f>VLOOKUP(A60,MAY!$A$4:$K$99,11,0)</f>
        <v>0</v>
      </c>
      <c r="J60" s="83"/>
      <c r="K60" s="68">
        <f t="shared" si="81"/>
        <v>0</v>
      </c>
      <c r="L60" s="68">
        <f>VLOOKUP(A60,JUN!$A$4:$K$99,11,0)</f>
        <v>0</v>
      </c>
      <c r="M60" s="83">
        <v>100000</v>
      </c>
      <c r="N60" s="68">
        <f t="shared" si="82"/>
        <v>100000</v>
      </c>
      <c r="O60" s="68">
        <f>VLOOKUP(A60,JUL!$A$4:$K$99,11,0)</f>
        <v>0</v>
      </c>
      <c r="P60" s="83"/>
      <c r="Q60" s="68">
        <f t="shared" si="83"/>
        <v>100000</v>
      </c>
      <c r="R60" s="83"/>
      <c r="S60" s="83"/>
      <c r="T60" s="68">
        <f t="shared" si="84"/>
        <v>100000</v>
      </c>
      <c r="U60" s="83"/>
      <c r="V60" s="83"/>
      <c r="W60" s="68">
        <f t="shared" si="85"/>
        <v>100000</v>
      </c>
      <c r="X60" s="83"/>
      <c r="Y60" s="83"/>
      <c r="Z60" s="68">
        <f t="shared" si="86"/>
        <v>100000</v>
      </c>
      <c r="AA60" s="83"/>
      <c r="AB60" s="83"/>
      <c r="AC60" s="68">
        <f t="shared" si="87"/>
        <v>100000</v>
      </c>
      <c r="AD60" s="83"/>
      <c r="AE60" s="83"/>
      <c r="AF60" s="68">
        <f t="shared" si="88"/>
        <v>100000</v>
      </c>
      <c r="AG60" s="83"/>
      <c r="AH60" s="83"/>
      <c r="AI60" s="68">
        <f t="shared" si="89"/>
        <v>100000</v>
      </c>
      <c r="AJ60" s="83"/>
      <c r="AK60" s="83"/>
      <c r="AL60" s="68">
        <f t="shared" si="90"/>
        <v>100000</v>
      </c>
      <c r="AM60" s="94"/>
      <c r="AN60" s="95">
        <f t="shared" si="1"/>
        <v>100000</v>
      </c>
      <c r="AO60" s="96">
        <f t="shared" si="2"/>
        <v>0</v>
      </c>
      <c r="AP60" s="95">
        <f t="shared" si="3"/>
        <v>100000</v>
      </c>
    </row>
    <row r="61" spans="1:42" x14ac:dyDescent="0.2">
      <c r="A61" s="37" t="s">
        <v>59</v>
      </c>
      <c r="B61" s="40"/>
      <c r="C61" s="40"/>
      <c r="D61" s="40"/>
      <c r="E61" s="81"/>
      <c r="F61" s="68">
        <f>VLOOKUP(A61,APR!$A$4:$K$99,11,0)</f>
        <v>0</v>
      </c>
      <c r="G61" s="81"/>
      <c r="H61" s="68">
        <f t="shared" si="80"/>
        <v>0</v>
      </c>
      <c r="I61" s="68">
        <f>VLOOKUP(A61,MAY!$A$4:$K$99,11,0)</f>
        <v>0</v>
      </c>
      <c r="J61" s="80"/>
      <c r="K61" s="68">
        <f t="shared" si="81"/>
        <v>0</v>
      </c>
      <c r="L61" s="68">
        <f>VLOOKUP(A61,JUN!$A$4:$K$99,11,0)</f>
        <v>0</v>
      </c>
      <c r="M61" s="83">
        <v>100000</v>
      </c>
      <c r="N61" s="68">
        <f t="shared" si="82"/>
        <v>100000</v>
      </c>
      <c r="O61" s="68">
        <f>VLOOKUP(A61,JUL!$A$4:$K$99,11,0)</f>
        <v>0</v>
      </c>
      <c r="P61" s="83"/>
      <c r="Q61" s="68">
        <f t="shared" si="83"/>
        <v>100000</v>
      </c>
      <c r="R61" s="83"/>
      <c r="S61" s="83"/>
      <c r="T61" s="68">
        <f t="shared" si="84"/>
        <v>100000</v>
      </c>
      <c r="U61" s="83"/>
      <c r="V61" s="83"/>
      <c r="W61" s="68">
        <f t="shared" si="85"/>
        <v>100000</v>
      </c>
      <c r="X61" s="83"/>
      <c r="Y61" s="83"/>
      <c r="Z61" s="68">
        <f t="shared" si="86"/>
        <v>100000</v>
      </c>
      <c r="AA61" s="83"/>
      <c r="AB61" s="83"/>
      <c r="AC61" s="68">
        <f t="shared" si="87"/>
        <v>100000</v>
      </c>
      <c r="AD61" s="83"/>
      <c r="AE61" s="83"/>
      <c r="AF61" s="68">
        <f t="shared" si="88"/>
        <v>100000</v>
      </c>
      <c r="AG61" s="83"/>
      <c r="AH61" s="83"/>
      <c r="AI61" s="68">
        <f t="shared" si="89"/>
        <v>100000</v>
      </c>
      <c r="AJ61" s="83"/>
      <c r="AK61" s="83"/>
      <c r="AL61" s="68">
        <f t="shared" si="90"/>
        <v>100000</v>
      </c>
      <c r="AM61" s="94"/>
      <c r="AN61" s="95">
        <f t="shared" si="1"/>
        <v>100000</v>
      </c>
      <c r="AO61" s="96">
        <f t="shared" si="2"/>
        <v>0</v>
      </c>
      <c r="AP61" s="95">
        <f t="shared" si="3"/>
        <v>100000</v>
      </c>
    </row>
    <row r="62" spans="1:42" x14ac:dyDescent="0.2">
      <c r="A62" s="37" t="s">
        <v>60</v>
      </c>
      <c r="B62" s="40"/>
      <c r="C62" s="40"/>
      <c r="D62" s="40"/>
      <c r="E62" s="81"/>
      <c r="F62" s="68">
        <f>VLOOKUP(A62,APR!$A$4:$K$99,11,0)</f>
        <v>0</v>
      </c>
      <c r="G62" s="81"/>
      <c r="H62" s="68">
        <f t="shared" si="80"/>
        <v>0</v>
      </c>
      <c r="I62" s="68">
        <f>VLOOKUP(A62,MAY!$A$4:$K$99,11,0)</f>
        <v>0</v>
      </c>
      <c r="J62" s="80"/>
      <c r="K62" s="68">
        <f t="shared" si="81"/>
        <v>0</v>
      </c>
      <c r="L62" s="68">
        <f>VLOOKUP(A62,JUN!$A$4:$K$99,11,0)</f>
        <v>0</v>
      </c>
      <c r="M62" s="83">
        <f>700000</f>
        <v>700000</v>
      </c>
      <c r="N62" s="68">
        <f t="shared" si="82"/>
        <v>700000</v>
      </c>
      <c r="O62" s="68">
        <f>VLOOKUP(A62,JUL!$A$4:$K$99,11,0)</f>
        <v>0</v>
      </c>
      <c r="P62" s="83"/>
      <c r="Q62" s="68">
        <f t="shared" si="83"/>
        <v>700000</v>
      </c>
      <c r="R62" s="83"/>
      <c r="S62" s="83"/>
      <c r="T62" s="68">
        <f t="shared" si="84"/>
        <v>700000</v>
      </c>
      <c r="U62" s="83"/>
      <c r="V62" s="83"/>
      <c r="W62" s="68">
        <f t="shared" si="85"/>
        <v>700000</v>
      </c>
      <c r="X62" s="83"/>
      <c r="Y62" s="83"/>
      <c r="Z62" s="68">
        <f t="shared" si="86"/>
        <v>700000</v>
      </c>
      <c r="AA62" s="83"/>
      <c r="AB62" s="83"/>
      <c r="AC62" s="68">
        <f t="shared" si="87"/>
        <v>700000</v>
      </c>
      <c r="AD62" s="83"/>
      <c r="AE62" s="83"/>
      <c r="AF62" s="68">
        <f t="shared" si="88"/>
        <v>700000</v>
      </c>
      <c r="AG62" s="83"/>
      <c r="AH62" s="83"/>
      <c r="AI62" s="68">
        <f t="shared" si="89"/>
        <v>700000</v>
      </c>
      <c r="AJ62" s="83"/>
      <c r="AK62" s="83"/>
      <c r="AL62" s="68">
        <f t="shared" si="90"/>
        <v>700000</v>
      </c>
      <c r="AM62" s="94"/>
      <c r="AN62" s="95">
        <f t="shared" si="1"/>
        <v>700000</v>
      </c>
      <c r="AO62" s="96">
        <f t="shared" si="2"/>
        <v>0</v>
      </c>
      <c r="AP62" s="95">
        <f t="shared" si="3"/>
        <v>700000</v>
      </c>
    </row>
    <row r="63" spans="1:42" x14ac:dyDescent="0.2">
      <c r="A63" s="37" t="s">
        <v>61</v>
      </c>
      <c r="B63" s="40"/>
      <c r="C63" s="40"/>
      <c r="D63" s="40"/>
      <c r="E63" s="83"/>
      <c r="F63" s="68">
        <f>VLOOKUP(A63,APR!$A$4:$K$99,11,0)</f>
        <v>0</v>
      </c>
      <c r="G63" s="83"/>
      <c r="H63" s="68">
        <f t="shared" si="80"/>
        <v>0</v>
      </c>
      <c r="I63" s="68">
        <f>VLOOKUP(A63,MAY!$A$4:$K$99,11,0)</f>
        <v>7413000</v>
      </c>
      <c r="J63" s="83"/>
      <c r="K63" s="68">
        <f t="shared" si="81"/>
        <v>-7413000</v>
      </c>
      <c r="L63" s="68">
        <f>VLOOKUP(A63,JUN!$A$4:$K$99,11,0)</f>
        <v>0</v>
      </c>
      <c r="M63" s="83">
        <f>2000000</f>
        <v>2000000</v>
      </c>
      <c r="N63" s="68">
        <f t="shared" si="82"/>
        <v>-5413000</v>
      </c>
      <c r="O63" s="68">
        <f>VLOOKUP(A63,JUL!$A$4:$K$99,11,0)</f>
        <v>0</v>
      </c>
      <c r="P63" s="83"/>
      <c r="Q63" s="68">
        <f t="shared" si="83"/>
        <v>-5413000</v>
      </c>
      <c r="R63" s="83"/>
      <c r="S63" s="83"/>
      <c r="T63" s="68">
        <f t="shared" si="84"/>
        <v>-5413000</v>
      </c>
      <c r="U63" s="83"/>
      <c r="V63" s="83"/>
      <c r="W63" s="68">
        <f t="shared" si="85"/>
        <v>-5413000</v>
      </c>
      <c r="X63" s="83"/>
      <c r="Y63" s="83"/>
      <c r="Z63" s="68">
        <f t="shared" si="86"/>
        <v>-5413000</v>
      </c>
      <c r="AA63" s="83"/>
      <c r="AB63" s="83"/>
      <c r="AC63" s="68">
        <f t="shared" si="87"/>
        <v>-5413000</v>
      </c>
      <c r="AD63" s="83"/>
      <c r="AE63" s="83"/>
      <c r="AF63" s="68">
        <f t="shared" si="88"/>
        <v>-5413000</v>
      </c>
      <c r="AG63" s="83"/>
      <c r="AH63" s="83"/>
      <c r="AI63" s="68">
        <f t="shared" si="89"/>
        <v>-5413000</v>
      </c>
      <c r="AJ63" s="83"/>
      <c r="AK63" s="83"/>
      <c r="AL63" s="68">
        <f t="shared" si="90"/>
        <v>-5413000</v>
      </c>
      <c r="AM63" s="94"/>
      <c r="AN63" s="95">
        <f t="shared" si="1"/>
        <v>2000000</v>
      </c>
      <c r="AO63" s="96">
        <f t="shared" si="2"/>
        <v>7413000</v>
      </c>
      <c r="AP63" s="95">
        <f t="shared" si="3"/>
        <v>-5413000</v>
      </c>
    </row>
    <row r="64" spans="1:42" x14ac:dyDescent="0.2">
      <c r="A64" s="37" t="s">
        <v>62</v>
      </c>
      <c r="B64" s="40"/>
      <c r="C64" s="40"/>
      <c r="D64" s="40"/>
      <c r="E64" s="81"/>
      <c r="F64" s="68">
        <f>VLOOKUP(A64,APR!$A$4:$K$99,11,0)</f>
        <v>0</v>
      </c>
      <c r="G64" s="81"/>
      <c r="H64" s="68">
        <f t="shared" si="80"/>
        <v>0</v>
      </c>
      <c r="I64" s="68">
        <f>VLOOKUP(A64,MAY!$A$4:$K$99,11,0)</f>
        <v>242848</v>
      </c>
      <c r="J64" s="81"/>
      <c r="K64" s="68">
        <f t="shared" si="81"/>
        <v>-242848</v>
      </c>
      <c r="L64" s="68">
        <f>VLOOKUP(A64,JUN!$A$4:$K$99,11,0)</f>
        <v>0</v>
      </c>
      <c r="M64" s="81">
        <v>100000</v>
      </c>
      <c r="N64" s="68">
        <f t="shared" si="82"/>
        <v>-142848</v>
      </c>
      <c r="O64" s="68">
        <f>VLOOKUP(A64,JUL!$A$4:$K$99,11,0)</f>
        <v>0</v>
      </c>
      <c r="P64" s="83"/>
      <c r="Q64" s="68">
        <f t="shared" si="83"/>
        <v>-142848</v>
      </c>
      <c r="R64" s="83"/>
      <c r="S64" s="83"/>
      <c r="T64" s="68">
        <f t="shared" si="84"/>
        <v>-142848</v>
      </c>
      <c r="U64" s="83"/>
      <c r="V64" s="83"/>
      <c r="W64" s="68">
        <f t="shared" si="85"/>
        <v>-142848</v>
      </c>
      <c r="X64" s="83"/>
      <c r="Y64" s="83"/>
      <c r="Z64" s="68">
        <f t="shared" si="86"/>
        <v>-142848</v>
      </c>
      <c r="AA64" s="83"/>
      <c r="AB64" s="83"/>
      <c r="AC64" s="68">
        <f t="shared" si="87"/>
        <v>-142848</v>
      </c>
      <c r="AD64" s="83"/>
      <c r="AE64" s="83"/>
      <c r="AF64" s="68">
        <f t="shared" si="88"/>
        <v>-142848</v>
      </c>
      <c r="AG64" s="83"/>
      <c r="AH64" s="83"/>
      <c r="AI64" s="68">
        <f t="shared" si="89"/>
        <v>-142848</v>
      </c>
      <c r="AJ64" s="83"/>
      <c r="AK64" s="83"/>
      <c r="AL64" s="68">
        <f t="shared" si="90"/>
        <v>-142848</v>
      </c>
      <c r="AM64" s="94"/>
      <c r="AN64" s="95">
        <f t="shared" si="1"/>
        <v>100000</v>
      </c>
      <c r="AO64" s="96">
        <f t="shared" si="2"/>
        <v>242848</v>
      </c>
      <c r="AP64" s="95">
        <f t="shared" si="3"/>
        <v>-142848</v>
      </c>
    </row>
    <row r="65" spans="1:42" x14ac:dyDescent="0.2">
      <c r="A65" s="37" t="s">
        <v>63</v>
      </c>
      <c r="B65" s="40"/>
      <c r="C65" s="40"/>
      <c r="D65" s="40"/>
      <c r="E65" s="81"/>
      <c r="F65" s="68">
        <f>VLOOKUP(A65,APR!$A$4:$K$99,11,0)</f>
        <v>0</v>
      </c>
      <c r="G65" s="81"/>
      <c r="H65" s="68">
        <f t="shared" si="80"/>
        <v>0</v>
      </c>
      <c r="I65" s="68">
        <f>VLOOKUP(A65,MAY!$A$4:$K$99,11,0)</f>
        <v>165200</v>
      </c>
      <c r="J65" s="80"/>
      <c r="K65" s="68">
        <f t="shared" si="81"/>
        <v>-165200</v>
      </c>
      <c r="L65" s="68">
        <f>VLOOKUP(A65,JUN!$A$4:$K$99,11,0)</f>
        <v>0</v>
      </c>
      <c r="M65" s="83">
        <v>200000</v>
      </c>
      <c r="N65" s="68">
        <f t="shared" si="82"/>
        <v>34800</v>
      </c>
      <c r="O65" s="68">
        <f>VLOOKUP(A65,JUL!$A$4:$K$99,11,0)</f>
        <v>0</v>
      </c>
      <c r="P65" s="83"/>
      <c r="Q65" s="68">
        <f t="shared" si="83"/>
        <v>34800</v>
      </c>
      <c r="R65" s="83"/>
      <c r="S65" s="83"/>
      <c r="T65" s="68">
        <f t="shared" si="84"/>
        <v>34800</v>
      </c>
      <c r="U65" s="83"/>
      <c r="V65" s="83"/>
      <c r="W65" s="68">
        <f t="shared" si="85"/>
        <v>34800</v>
      </c>
      <c r="X65" s="83"/>
      <c r="Y65" s="83"/>
      <c r="Z65" s="68">
        <f t="shared" si="86"/>
        <v>34800</v>
      </c>
      <c r="AA65" s="83"/>
      <c r="AB65" s="83"/>
      <c r="AC65" s="68">
        <f t="shared" si="87"/>
        <v>34800</v>
      </c>
      <c r="AD65" s="83"/>
      <c r="AE65" s="83"/>
      <c r="AF65" s="68">
        <f t="shared" si="88"/>
        <v>34800</v>
      </c>
      <c r="AG65" s="83"/>
      <c r="AH65" s="83"/>
      <c r="AI65" s="68">
        <f t="shared" si="89"/>
        <v>34800</v>
      </c>
      <c r="AJ65" s="83"/>
      <c r="AK65" s="83"/>
      <c r="AL65" s="68">
        <f t="shared" si="90"/>
        <v>34800</v>
      </c>
      <c r="AM65" s="94"/>
      <c r="AN65" s="95">
        <f t="shared" si="1"/>
        <v>200000</v>
      </c>
      <c r="AO65" s="96">
        <f t="shared" si="2"/>
        <v>165200</v>
      </c>
      <c r="AP65" s="95">
        <f t="shared" si="3"/>
        <v>34800</v>
      </c>
    </row>
    <row r="66" spans="1:42" x14ac:dyDescent="0.2">
      <c r="A66" s="37" t="s">
        <v>64</v>
      </c>
      <c r="B66" s="40"/>
      <c r="C66" s="40"/>
      <c r="D66" s="40"/>
      <c r="E66" s="81"/>
      <c r="F66" s="68">
        <f>VLOOKUP(A66,APR!$A$4:$K$99,11,0)</f>
        <v>0</v>
      </c>
      <c r="G66" s="81"/>
      <c r="H66" s="68">
        <f t="shared" si="80"/>
        <v>0</v>
      </c>
      <c r="I66" s="68">
        <f>VLOOKUP(A66,MAY!$A$4:$K$99,11,0)</f>
        <v>1809966.9</v>
      </c>
      <c r="J66" s="81"/>
      <c r="K66" s="68">
        <f t="shared" si="81"/>
        <v>-1809966.9</v>
      </c>
      <c r="L66" s="68">
        <f>VLOOKUP(A66,JUN!$A$4:$K$99,11,0)</f>
        <v>193500</v>
      </c>
      <c r="M66" s="81">
        <v>1000000</v>
      </c>
      <c r="N66" s="68">
        <f t="shared" si="82"/>
        <v>-1003466.8999999999</v>
      </c>
      <c r="O66" s="68">
        <f>VLOOKUP(A66,JUL!$A$4:$K$99,11,0)</f>
        <v>0</v>
      </c>
      <c r="P66" s="83"/>
      <c r="Q66" s="68">
        <f t="shared" si="83"/>
        <v>-1003466.8999999999</v>
      </c>
      <c r="R66" s="83"/>
      <c r="S66" s="83"/>
      <c r="T66" s="68">
        <f t="shared" si="84"/>
        <v>-1003466.8999999999</v>
      </c>
      <c r="U66" s="83"/>
      <c r="V66" s="83"/>
      <c r="W66" s="68">
        <f t="shared" si="85"/>
        <v>-1003466.8999999999</v>
      </c>
      <c r="X66" s="83"/>
      <c r="Y66" s="83"/>
      <c r="Z66" s="68">
        <f t="shared" si="86"/>
        <v>-1003466.8999999999</v>
      </c>
      <c r="AA66" s="83"/>
      <c r="AB66" s="83"/>
      <c r="AC66" s="68">
        <f t="shared" si="87"/>
        <v>-1003466.8999999999</v>
      </c>
      <c r="AD66" s="83"/>
      <c r="AE66" s="83"/>
      <c r="AF66" s="68">
        <f t="shared" si="88"/>
        <v>-1003466.8999999999</v>
      </c>
      <c r="AG66" s="83"/>
      <c r="AH66" s="83"/>
      <c r="AI66" s="68">
        <f t="shared" si="89"/>
        <v>-1003466.8999999999</v>
      </c>
      <c r="AJ66" s="83"/>
      <c r="AK66" s="83"/>
      <c r="AL66" s="68">
        <f t="shared" si="90"/>
        <v>-1003466.8999999999</v>
      </c>
      <c r="AM66" s="94"/>
      <c r="AN66" s="95">
        <f t="shared" si="1"/>
        <v>1000000</v>
      </c>
      <c r="AO66" s="96">
        <f t="shared" si="2"/>
        <v>2003466.9</v>
      </c>
      <c r="AP66" s="95">
        <f t="shared" si="3"/>
        <v>-1003466.8999999999</v>
      </c>
    </row>
    <row r="67" spans="1:42" x14ac:dyDescent="0.2">
      <c r="A67" s="37" t="s">
        <v>65</v>
      </c>
      <c r="B67" s="40"/>
      <c r="C67" s="40"/>
      <c r="D67" s="40"/>
      <c r="E67" s="81"/>
      <c r="F67" s="68">
        <f>VLOOKUP(A67,APR!$A$4:$K$99,11,0)</f>
        <v>0</v>
      </c>
      <c r="G67" s="81"/>
      <c r="H67" s="68">
        <f t="shared" si="80"/>
        <v>0</v>
      </c>
      <c r="I67" s="68">
        <f>VLOOKUP(A67,MAY!$A$4:$K$99,11,0)</f>
        <v>218890</v>
      </c>
      <c r="J67" s="81"/>
      <c r="K67" s="68">
        <f t="shared" si="81"/>
        <v>-218890</v>
      </c>
      <c r="L67" s="68">
        <f>VLOOKUP(A67,JUN!$A$4:$K$99,11,0)</f>
        <v>115640</v>
      </c>
      <c r="M67" s="83">
        <v>50000</v>
      </c>
      <c r="N67" s="68">
        <f t="shared" si="82"/>
        <v>-284530</v>
      </c>
      <c r="O67" s="68">
        <f>VLOOKUP(A67,JUL!$A$4:$K$99,11,0)</f>
        <v>0</v>
      </c>
      <c r="P67" s="83"/>
      <c r="Q67" s="68">
        <f t="shared" si="83"/>
        <v>-284530</v>
      </c>
      <c r="R67" s="83"/>
      <c r="S67" s="83"/>
      <c r="T67" s="68">
        <f t="shared" si="84"/>
        <v>-284530</v>
      </c>
      <c r="U67" s="83"/>
      <c r="V67" s="83"/>
      <c r="W67" s="68">
        <f t="shared" si="85"/>
        <v>-284530</v>
      </c>
      <c r="X67" s="83"/>
      <c r="Y67" s="83"/>
      <c r="Z67" s="68">
        <f t="shared" si="86"/>
        <v>-284530</v>
      </c>
      <c r="AA67" s="83"/>
      <c r="AB67" s="83"/>
      <c r="AC67" s="68">
        <f t="shared" si="87"/>
        <v>-284530</v>
      </c>
      <c r="AD67" s="83"/>
      <c r="AE67" s="83"/>
      <c r="AF67" s="68">
        <f t="shared" si="88"/>
        <v>-284530</v>
      </c>
      <c r="AG67" s="83"/>
      <c r="AH67" s="83"/>
      <c r="AI67" s="68">
        <f t="shared" si="89"/>
        <v>-284530</v>
      </c>
      <c r="AJ67" s="83"/>
      <c r="AK67" s="83"/>
      <c r="AL67" s="68">
        <f t="shared" si="90"/>
        <v>-284530</v>
      </c>
      <c r="AM67" s="94"/>
      <c r="AN67" s="95">
        <f t="shared" si="1"/>
        <v>50000</v>
      </c>
      <c r="AO67" s="96">
        <f t="shared" si="2"/>
        <v>334530</v>
      </c>
      <c r="AP67" s="95">
        <f t="shared" si="3"/>
        <v>-284530</v>
      </c>
    </row>
    <row r="68" spans="1:42" x14ac:dyDescent="0.2">
      <c r="A68" s="45" t="s">
        <v>66</v>
      </c>
      <c r="B68" s="39"/>
      <c r="C68" s="39"/>
      <c r="D68" s="39"/>
      <c r="E68" s="39">
        <f t="shared" ref="E68:AM68" si="91">SUM(E69:E85)</f>
        <v>0</v>
      </c>
      <c r="F68" s="39">
        <f t="shared" si="91"/>
        <v>3140684</v>
      </c>
      <c r="G68" s="39">
        <f t="shared" si="91"/>
        <v>0</v>
      </c>
      <c r="H68" s="39">
        <f t="shared" si="91"/>
        <v>-3140684</v>
      </c>
      <c r="I68" s="39">
        <f t="shared" si="91"/>
        <v>5570828.9199999999</v>
      </c>
      <c r="J68" s="39">
        <f t="shared" si="91"/>
        <v>0</v>
      </c>
      <c r="K68" s="39">
        <f t="shared" si="91"/>
        <v>-8711512.9199999999</v>
      </c>
      <c r="L68" s="39">
        <f t="shared" si="91"/>
        <v>3926684.9</v>
      </c>
      <c r="M68" s="39">
        <f t="shared" si="91"/>
        <v>0</v>
      </c>
      <c r="N68" s="39">
        <f t="shared" si="91"/>
        <v>-12638197.82</v>
      </c>
      <c r="O68" s="39">
        <f t="shared" si="91"/>
        <v>2318850</v>
      </c>
      <c r="P68" s="39">
        <f t="shared" si="91"/>
        <v>36357200</v>
      </c>
      <c r="Q68" s="39">
        <f t="shared" si="91"/>
        <v>21400152.18</v>
      </c>
      <c r="R68" s="39">
        <f t="shared" si="91"/>
        <v>0</v>
      </c>
      <c r="S68" s="39">
        <f t="shared" si="91"/>
        <v>0</v>
      </c>
      <c r="T68" s="39">
        <f t="shared" si="91"/>
        <v>21400152.18</v>
      </c>
      <c r="U68" s="39">
        <f t="shared" si="91"/>
        <v>0</v>
      </c>
      <c r="V68" s="39">
        <f t="shared" si="91"/>
        <v>0</v>
      </c>
      <c r="W68" s="39">
        <f t="shared" si="91"/>
        <v>21400152.18</v>
      </c>
      <c r="X68" s="39">
        <f t="shared" si="91"/>
        <v>0</v>
      </c>
      <c r="Y68" s="39">
        <f t="shared" si="91"/>
        <v>0</v>
      </c>
      <c r="Z68" s="39">
        <f t="shared" si="91"/>
        <v>21400152.18</v>
      </c>
      <c r="AA68" s="39">
        <f t="shared" si="91"/>
        <v>0</v>
      </c>
      <c r="AB68" s="39">
        <f t="shared" si="91"/>
        <v>0</v>
      </c>
      <c r="AC68" s="39">
        <f t="shared" si="91"/>
        <v>21400152.18</v>
      </c>
      <c r="AD68" s="39">
        <f t="shared" si="91"/>
        <v>0</v>
      </c>
      <c r="AE68" s="39">
        <f t="shared" si="91"/>
        <v>0</v>
      </c>
      <c r="AF68" s="39">
        <f t="shared" si="91"/>
        <v>21400152.18</v>
      </c>
      <c r="AG68" s="39">
        <f t="shared" si="91"/>
        <v>0</v>
      </c>
      <c r="AH68" s="39">
        <f t="shared" si="91"/>
        <v>0</v>
      </c>
      <c r="AI68" s="39">
        <f t="shared" si="91"/>
        <v>21400152.18</v>
      </c>
      <c r="AJ68" s="39">
        <f t="shared" si="91"/>
        <v>0</v>
      </c>
      <c r="AK68" s="39">
        <f t="shared" si="91"/>
        <v>0</v>
      </c>
      <c r="AL68" s="39">
        <f t="shared" si="91"/>
        <v>21400152.18</v>
      </c>
      <c r="AM68" s="39">
        <f t="shared" si="91"/>
        <v>0</v>
      </c>
      <c r="AN68" s="104">
        <f t="shared" si="1"/>
        <v>36357200</v>
      </c>
      <c r="AO68" s="105">
        <f t="shared" si="2"/>
        <v>14957047.82</v>
      </c>
      <c r="AP68" s="104">
        <f t="shared" si="3"/>
        <v>21400152.18</v>
      </c>
    </row>
    <row r="69" spans="1:42" x14ac:dyDescent="0.2">
      <c r="A69" s="41" t="s">
        <v>67</v>
      </c>
      <c r="B69" s="44"/>
      <c r="C69" s="44"/>
      <c r="D69" s="44"/>
      <c r="E69" s="76"/>
      <c r="F69" s="68">
        <f>VLOOKUP(A69,APR!$A$4:$K$99,11,0)</f>
        <v>0</v>
      </c>
      <c r="G69" s="76"/>
      <c r="H69" s="68">
        <f t="shared" ref="H69:H85" si="92">E69-F69+G69</f>
        <v>0</v>
      </c>
      <c r="I69" s="68">
        <f>VLOOKUP(A69,MAY!$A$4:$K$99,11,0)</f>
        <v>0</v>
      </c>
      <c r="J69" s="76"/>
      <c r="K69" s="68">
        <f t="shared" ref="K69:K85" si="93">H69-I69+J69</f>
        <v>0</v>
      </c>
      <c r="L69" s="68">
        <f>VLOOKUP(A69,JUN!$A$4:$K$99,11,0)</f>
        <v>0</v>
      </c>
      <c r="M69" s="76"/>
      <c r="N69" s="68">
        <f t="shared" ref="N69:N85" si="94">K69-L69+M69</f>
        <v>0</v>
      </c>
      <c r="O69" s="68">
        <f>VLOOKUP(A69,JUL!$A$4:$K$99,11,0)</f>
        <v>0</v>
      </c>
      <c r="P69" s="76">
        <v>1200000</v>
      </c>
      <c r="Q69" s="68">
        <f t="shared" ref="Q69:Q85" si="95">N69-O69+P69</f>
        <v>1200000</v>
      </c>
      <c r="R69" s="76"/>
      <c r="S69" s="76"/>
      <c r="T69" s="68">
        <f t="shared" ref="T69:T85" si="96">Q69-R69+S69</f>
        <v>1200000</v>
      </c>
      <c r="U69" s="76"/>
      <c r="V69" s="76"/>
      <c r="W69" s="68">
        <f t="shared" ref="W69:W85" si="97">T69-U69+V69</f>
        <v>1200000</v>
      </c>
      <c r="X69" s="76"/>
      <c r="Y69" s="76"/>
      <c r="Z69" s="68">
        <f t="shared" ref="Z69:Z85" si="98">W69-X69+Y69</f>
        <v>1200000</v>
      </c>
      <c r="AA69" s="76"/>
      <c r="AB69" s="76"/>
      <c r="AC69" s="68">
        <f t="shared" ref="AC69:AC85" si="99">Z69-AA69+AB69</f>
        <v>1200000</v>
      </c>
      <c r="AD69" s="76"/>
      <c r="AE69" s="76"/>
      <c r="AF69" s="68">
        <f t="shared" ref="AF69:AF85" si="100">AC69-AD69+AE69</f>
        <v>1200000</v>
      </c>
      <c r="AG69" s="76"/>
      <c r="AH69" s="76"/>
      <c r="AI69" s="68">
        <f t="shared" ref="AI69:AI85" si="101">AF69-AG69+AH69</f>
        <v>1200000</v>
      </c>
      <c r="AJ69" s="76"/>
      <c r="AK69" s="76"/>
      <c r="AL69" s="68">
        <f t="shared" ref="AL69:AL85" si="102">AI69-AJ69+AK69</f>
        <v>1200000</v>
      </c>
      <c r="AM69" s="77"/>
      <c r="AN69" s="78">
        <f t="shared" ref="AN69:AN98" si="103">E69+G69+J69+M69+P69+S69+V69+Y69+AB69+AE69+AH69+AK69</f>
        <v>1200000</v>
      </c>
      <c r="AO69" s="79">
        <f t="shared" ref="AO69:AO98" si="104">F69+I69+L69+O69+R69+U69+X69+AA69+AD69+AG69+AJ69+AM69</f>
        <v>0</v>
      </c>
      <c r="AP69" s="78">
        <f t="shared" ref="AP69:AP98" si="105">AN69-AO69</f>
        <v>1200000</v>
      </c>
    </row>
    <row r="70" spans="1:42" x14ac:dyDescent="0.2">
      <c r="A70" s="41" t="s">
        <v>68</v>
      </c>
      <c r="B70" s="44"/>
      <c r="C70" s="44"/>
      <c r="D70" s="44"/>
      <c r="E70" s="76"/>
      <c r="F70" s="68">
        <f>VLOOKUP(A70,APR!$A$4:$K$99,11,0)</f>
        <v>0</v>
      </c>
      <c r="G70" s="76"/>
      <c r="H70" s="68">
        <f t="shared" si="92"/>
        <v>0</v>
      </c>
      <c r="I70" s="68">
        <f>VLOOKUP(A70,MAY!$A$4:$K$99,11,0)</f>
        <v>0</v>
      </c>
      <c r="J70" s="76"/>
      <c r="K70" s="68">
        <f t="shared" si="93"/>
        <v>0</v>
      </c>
      <c r="L70" s="68">
        <f>VLOOKUP(A70,JUN!$A$4:$K$99,11,0)</f>
        <v>607700</v>
      </c>
      <c r="M70" s="76"/>
      <c r="N70" s="68">
        <f t="shared" si="94"/>
        <v>-607700</v>
      </c>
      <c r="O70" s="68">
        <f>VLOOKUP(A70,JUL!$A$4:$K$99,11,0)</f>
        <v>141600</v>
      </c>
      <c r="P70" s="76">
        <v>800000</v>
      </c>
      <c r="Q70" s="68">
        <f t="shared" si="95"/>
        <v>50700</v>
      </c>
      <c r="R70" s="76"/>
      <c r="S70" s="76"/>
      <c r="T70" s="68">
        <f t="shared" si="96"/>
        <v>50700</v>
      </c>
      <c r="U70" s="76"/>
      <c r="V70" s="76"/>
      <c r="W70" s="68">
        <f t="shared" si="97"/>
        <v>50700</v>
      </c>
      <c r="X70" s="76"/>
      <c r="Y70" s="76"/>
      <c r="Z70" s="68">
        <f t="shared" si="98"/>
        <v>50700</v>
      </c>
      <c r="AA70" s="76"/>
      <c r="AB70" s="76"/>
      <c r="AC70" s="68">
        <f t="shared" si="99"/>
        <v>50700</v>
      </c>
      <c r="AD70" s="76"/>
      <c r="AE70" s="76"/>
      <c r="AF70" s="68">
        <f t="shared" si="100"/>
        <v>50700</v>
      </c>
      <c r="AG70" s="76"/>
      <c r="AH70" s="76"/>
      <c r="AI70" s="68">
        <f t="shared" si="101"/>
        <v>50700</v>
      </c>
      <c r="AJ70" s="76"/>
      <c r="AK70" s="76"/>
      <c r="AL70" s="68">
        <f t="shared" si="102"/>
        <v>50700</v>
      </c>
      <c r="AM70" s="77"/>
      <c r="AN70" s="78">
        <f t="shared" si="103"/>
        <v>800000</v>
      </c>
      <c r="AO70" s="79">
        <f t="shared" si="104"/>
        <v>749300</v>
      </c>
      <c r="AP70" s="78">
        <f t="shared" si="105"/>
        <v>50700</v>
      </c>
    </row>
    <row r="71" spans="1:42" x14ac:dyDescent="0.2">
      <c r="A71" s="41" t="s">
        <v>69</v>
      </c>
      <c r="B71" s="44"/>
      <c r="C71" s="44"/>
      <c r="D71" s="44"/>
      <c r="E71" s="76"/>
      <c r="F71" s="68">
        <f>VLOOKUP(A71,APR!$A$4:$K$99,11,0)</f>
        <v>0</v>
      </c>
      <c r="G71" s="76"/>
      <c r="H71" s="68">
        <f t="shared" si="92"/>
        <v>0</v>
      </c>
      <c r="I71" s="68">
        <f>VLOOKUP(A71,MAY!$A$4:$K$99,11,0)</f>
        <v>0</v>
      </c>
      <c r="J71" s="76"/>
      <c r="K71" s="68">
        <f t="shared" si="93"/>
        <v>0</v>
      </c>
      <c r="L71" s="68">
        <f>VLOOKUP(A71,JUN!$A$4:$K$99,11,0)</f>
        <v>196470</v>
      </c>
      <c r="M71" s="76"/>
      <c r="N71" s="68">
        <f t="shared" si="94"/>
        <v>-196470</v>
      </c>
      <c r="O71" s="68">
        <f>VLOOKUP(A71,JUL!$A$4:$K$99,11,0)</f>
        <v>0</v>
      </c>
      <c r="P71" s="76">
        <v>1770000</v>
      </c>
      <c r="Q71" s="68">
        <f t="shared" si="95"/>
        <v>1573530</v>
      </c>
      <c r="R71" s="76"/>
      <c r="S71" s="76"/>
      <c r="T71" s="68">
        <f t="shared" si="96"/>
        <v>1573530</v>
      </c>
      <c r="U71" s="76"/>
      <c r="V71" s="76"/>
      <c r="W71" s="68">
        <f t="shared" si="97"/>
        <v>1573530</v>
      </c>
      <c r="X71" s="76"/>
      <c r="Y71" s="76"/>
      <c r="Z71" s="68">
        <f t="shared" si="98"/>
        <v>1573530</v>
      </c>
      <c r="AA71" s="76"/>
      <c r="AB71" s="76"/>
      <c r="AC71" s="68">
        <f t="shared" si="99"/>
        <v>1573530</v>
      </c>
      <c r="AD71" s="76"/>
      <c r="AE71" s="76"/>
      <c r="AF71" s="68">
        <f t="shared" si="100"/>
        <v>1573530</v>
      </c>
      <c r="AG71" s="76"/>
      <c r="AH71" s="76"/>
      <c r="AI71" s="68">
        <f t="shared" si="101"/>
        <v>1573530</v>
      </c>
      <c r="AJ71" s="76"/>
      <c r="AK71" s="76"/>
      <c r="AL71" s="68">
        <f t="shared" si="102"/>
        <v>1573530</v>
      </c>
      <c r="AM71" s="77"/>
      <c r="AN71" s="78">
        <f t="shared" si="103"/>
        <v>1770000</v>
      </c>
      <c r="AO71" s="79">
        <f t="shared" si="104"/>
        <v>196470</v>
      </c>
      <c r="AP71" s="78">
        <f t="shared" si="105"/>
        <v>1573530</v>
      </c>
    </row>
    <row r="72" spans="1:42" x14ac:dyDescent="0.2">
      <c r="A72" s="41" t="s">
        <v>70</v>
      </c>
      <c r="B72" s="44"/>
      <c r="C72" s="44"/>
      <c r="D72" s="44"/>
      <c r="E72" s="76"/>
      <c r="F72" s="68">
        <f>VLOOKUP(A72,APR!$A$4:$K$99,11,0)</f>
        <v>0</v>
      </c>
      <c r="G72" s="76"/>
      <c r="H72" s="68">
        <f t="shared" si="92"/>
        <v>0</v>
      </c>
      <c r="I72" s="68">
        <f>VLOOKUP(A72,MAY!$A$4:$K$99,11,0)</f>
        <v>0</v>
      </c>
      <c r="J72" s="76"/>
      <c r="K72" s="68">
        <f t="shared" si="93"/>
        <v>0</v>
      </c>
      <c r="L72" s="68">
        <f>VLOOKUP(A72,JUN!$A$4:$K$99,11,0)</f>
        <v>0</v>
      </c>
      <c r="M72" s="76"/>
      <c r="N72" s="68">
        <f t="shared" si="94"/>
        <v>0</v>
      </c>
      <c r="O72" s="68">
        <f>VLOOKUP(A72,JUL!$A$4:$K$99,11,0)</f>
        <v>0</v>
      </c>
      <c r="P72" s="76">
        <v>200000</v>
      </c>
      <c r="Q72" s="68">
        <f t="shared" si="95"/>
        <v>200000</v>
      </c>
      <c r="R72" s="76"/>
      <c r="S72" s="76"/>
      <c r="T72" s="68">
        <f t="shared" si="96"/>
        <v>200000</v>
      </c>
      <c r="U72" s="76"/>
      <c r="V72" s="76"/>
      <c r="W72" s="68">
        <f t="shared" si="97"/>
        <v>200000</v>
      </c>
      <c r="X72" s="76"/>
      <c r="Y72" s="76"/>
      <c r="Z72" s="68">
        <f t="shared" si="98"/>
        <v>200000</v>
      </c>
      <c r="AA72" s="76"/>
      <c r="AB72" s="76"/>
      <c r="AC72" s="68">
        <f t="shared" si="99"/>
        <v>200000</v>
      </c>
      <c r="AD72" s="76"/>
      <c r="AE72" s="76"/>
      <c r="AF72" s="68">
        <f t="shared" si="100"/>
        <v>200000</v>
      </c>
      <c r="AG72" s="76"/>
      <c r="AH72" s="76"/>
      <c r="AI72" s="68">
        <f t="shared" si="101"/>
        <v>200000</v>
      </c>
      <c r="AJ72" s="76"/>
      <c r="AK72" s="76"/>
      <c r="AL72" s="68">
        <f t="shared" si="102"/>
        <v>200000</v>
      </c>
      <c r="AM72" s="77"/>
      <c r="AN72" s="78">
        <f t="shared" si="103"/>
        <v>200000</v>
      </c>
      <c r="AO72" s="79">
        <f t="shared" si="104"/>
        <v>0</v>
      </c>
      <c r="AP72" s="78">
        <f t="shared" si="105"/>
        <v>200000</v>
      </c>
    </row>
    <row r="73" spans="1:42" x14ac:dyDescent="0.2">
      <c r="A73" s="41" t="s">
        <v>71</v>
      </c>
      <c r="B73" s="44"/>
      <c r="C73" s="44"/>
      <c r="D73" s="44"/>
      <c r="E73" s="76"/>
      <c r="F73" s="68">
        <f>VLOOKUP(A73,APR!$A$4:$K$99,11,0)</f>
        <v>0</v>
      </c>
      <c r="G73" s="76"/>
      <c r="H73" s="68">
        <f t="shared" si="92"/>
        <v>0</v>
      </c>
      <c r="I73" s="68">
        <f>VLOOKUP(A73,MAY!$A$4:$K$99,11,0)</f>
        <v>0</v>
      </c>
      <c r="J73" s="76"/>
      <c r="K73" s="68">
        <f t="shared" si="93"/>
        <v>0</v>
      </c>
      <c r="L73" s="68">
        <f>VLOOKUP(A73,JUN!$A$4:$K$99,11,0)</f>
        <v>0</v>
      </c>
      <c r="M73" s="76"/>
      <c r="N73" s="68">
        <f t="shared" si="94"/>
        <v>0</v>
      </c>
      <c r="O73" s="68">
        <f>VLOOKUP(A73,JUL!$A$4:$K$99,11,0)</f>
        <v>0</v>
      </c>
      <c r="P73" s="76">
        <v>300000</v>
      </c>
      <c r="Q73" s="68">
        <f t="shared" si="95"/>
        <v>300000</v>
      </c>
      <c r="R73" s="76"/>
      <c r="S73" s="76"/>
      <c r="T73" s="68">
        <f t="shared" si="96"/>
        <v>300000</v>
      </c>
      <c r="U73" s="76"/>
      <c r="V73" s="76"/>
      <c r="W73" s="68">
        <f t="shared" si="97"/>
        <v>300000</v>
      </c>
      <c r="X73" s="76"/>
      <c r="Y73" s="76"/>
      <c r="Z73" s="68">
        <f t="shared" si="98"/>
        <v>300000</v>
      </c>
      <c r="AA73" s="76"/>
      <c r="AB73" s="76"/>
      <c r="AC73" s="68">
        <f t="shared" si="99"/>
        <v>300000</v>
      </c>
      <c r="AD73" s="76"/>
      <c r="AE73" s="76"/>
      <c r="AF73" s="68">
        <f t="shared" si="100"/>
        <v>300000</v>
      </c>
      <c r="AG73" s="76"/>
      <c r="AH73" s="76"/>
      <c r="AI73" s="68">
        <f t="shared" si="101"/>
        <v>300000</v>
      </c>
      <c r="AJ73" s="76"/>
      <c r="AK73" s="76"/>
      <c r="AL73" s="68">
        <f t="shared" si="102"/>
        <v>300000</v>
      </c>
      <c r="AM73" s="77"/>
      <c r="AN73" s="78">
        <f t="shared" si="103"/>
        <v>300000</v>
      </c>
      <c r="AO73" s="79">
        <f t="shared" si="104"/>
        <v>0</v>
      </c>
      <c r="AP73" s="78">
        <f t="shared" si="105"/>
        <v>300000</v>
      </c>
    </row>
    <row r="74" spans="1:42" x14ac:dyDescent="0.2">
      <c r="A74" s="41" t="s">
        <v>72</v>
      </c>
      <c r="B74" s="44"/>
      <c r="C74" s="44"/>
      <c r="D74" s="44"/>
      <c r="E74" s="76"/>
      <c r="F74" s="68">
        <f>VLOOKUP(A74,APR!$A$4:$K$99,11,0)</f>
        <v>0</v>
      </c>
      <c r="G74" s="76"/>
      <c r="H74" s="68">
        <f t="shared" si="92"/>
        <v>0</v>
      </c>
      <c r="I74" s="68">
        <f>VLOOKUP(A74,MAY!$A$4:$K$99,11,0)</f>
        <v>3953250</v>
      </c>
      <c r="J74" s="76"/>
      <c r="K74" s="68">
        <f t="shared" si="93"/>
        <v>-3953250</v>
      </c>
      <c r="L74" s="68">
        <f>VLOOKUP(A74,JUN!$A$4:$K$99,11,0)</f>
        <v>0</v>
      </c>
      <c r="M74" s="76"/>
      <c r="N74" s="68">
        <f t="shared" si="94"/>
        <v>-3953250</v>
      </c>
      <c r="O74" s="68">
        <f>VLOOKUP(A74,JUL!$A$4:$K$99,11,0)</f>
        <v>2147250</v>
      </c>
      <c r="P74" s="76">
        <v>4513500</v>
      </c>
      <c r="Q74" s="68">
        <f t="shared" si="95"/>
        <v>-1587000</v>
      </c>
      <c r="R74" s="76"/>
      <c r="S74" s="76"/>
      <c r="T74" s="68">
        <f t="shared" si="96"/>
        <v>-1587000</v>
      </c>
      <c r="U74" s="76"/>
      <c r="V74" s="76"/>
      <c r="W74" s="68">
        <f t="shared" si="97"/>
        <v>-1587000</v>
      </c>
      <c r="X74" s="76"/>
      <c r="Y74" s="76"/>
      <c r="Z74" s="68">
        <f t="shared" si="98"/>
        <v>-1587000</v>
      </c>
      <c r="AA74" s="76"/>
      <c r="AB74" s="76"/>
      <c r="AC74" s="68">
        <f t="shared" si="99"/>
        <v>-1587000</v>
      </c>
      <c r="AD74" s="76"/>
      <c r="AE74" s="76"/>
      <c r="AF74" s="68">
        <f t="shared" si="100"/>
        <v>-1587000</v>
      </c>
      <c r="AG74" s="76"/>
      <c r="AH74" s="76"/>
      <c r="AI74" s="68">
        <f t="shared" si="101"/>
        <v>-1587000</v>
      </c>
      <c r="AJ74" s="76"/>
      <c r="AK74" s="76"/>
      <c r="AL74" s="68">
        <f t="shared" si="102"/>
        <v>-1587000</v>
      </c>
      <c r="AM74" s="77"/>
      <c r="AN74" s="78">
        <f t="shared" si="103"/>
        <v>4513500</v>
      </c>
      <c r="AO74" s="79">
        <f t="shared" si="104"/>
        <v>6100500</v>
      </c>
      <c r="AP74" s="78">
        <f t="shared" si="105"/>
        <v>-1587000</v>
      </c>
    </row>
    <row r="75" spans="1:42" x14ac:dyDescent="0.2">
      <c r="A75" s="41" t="s">
        <v>73</v>
      </c>
      <c r="B75" s="44"/>
      <c r="C75" s="44"/>
      <c r="D75" s="44"/>
      <c r="E75" s="76"/>
      <c r="F75" s="68">
        <f>VLOOKUP(A75,APR!$A$4:$K$99,11,0)</f>
        <v>0</v>
      </c>
      <c r="G75" s="76"/>
      <c r="H75" s="68">
        <f t="shared" si="92"/>
        <v>0</v>
      </c>
      <c r="I75" s="68">
        <f>VLOOKUP(A75,MAY!$A$4:$K$99,11,0)</f>
        <v>970870.92</v>
      </c>
      <c r="J75" s="76"/>
      <c r="K75" s="68">
        <f t="shared" si="93"/>
        <v>-970870.92</v>
      </c>
      <c r="L75" s="68">
        <f>VLOOKUP(A75,JUN!$A$4:$K$99,11,0)</f>
        <v>0</v>
      </c>
      <c r="M75" s="76"/>
      <c r="N75" s="68">
        <f t="shared" si="94"/>
        <v>-970870.92</v>
      </c>
      <c r="O75" s="68">
        <f>VLOOKUP(A75,JUL!$A$4:$K$99,11,0)</f>
        <v>0</v>
      </c>
      <c r="P75" s="76">
        <v>708000</v>
      </c>
      <c r="Q75" s="68">
        <f t="shared" si="95"/>
        <v>-262870.92000000004</v>
      </c>
      <c r="R75" s="76"/>
      <c r="S75" s="76"/>
      <c r="T75" s="68">
        <f t="shared" si="96"/>
        <v>-262870.92000000004</v>
      </c>
      <c r="U75" s="76"/>
      <c r="V75" s="76"/>
      <c r="W75" s="68">
        <f t="shared" si="97"/>
        <v>-262870.92000000004</v>
      </c>
      <c r="X75" s="76"/>
      <c r="Y75" s="76"/>
      <c r="Z75" s="68">
        <f t="shared" si="98"/>
        <v>-262870.92000000004</v>
      </c>
      <c r="AA75" s="76"/>
      <c r="AB75" s="76"/>
      <c r="AC75" s="68">
        <f t="shared" si="99"/>
        <v>-262870.92000000004</v>
      </c>
      <c r="AD75" s="76"/>
      <c r="AE75" s="76"/>
      <c r="AF75" s="68">
        <f t="shared" si="100"/>
        <v>-262870.92000000004</v>
      </c>
      <c r="AG75" s="76"/>
      <c r="AH75" s="76"/>
      <c r="AI75" s="68">
        <f t="shared" si="101"/>
        <v>-262870.92000000004</v>
      </c>
      <c r="AJ75" s="76"/>
      <c r="AK75" s="76"/>
      <c r="AL75" s="68">
        <f t="shared" si="102"/>
        <v>-262870.92000000004</v>
      </c>
      <c r="AM75" s="77"/>
      <c r="AN75" s="78">
        <f t="shared" si="103"/>
        <v>708000</v>
      </c>
      <c r="AO75" s="79">
        <f t="shared" si="104"/>
        <v>970870.92</v>
      </c>
      <c r="AP75" s="78">
        <f t="shared" si="105"/>
        <v>-262870.92000000004</v>
      </c>
    </row>
    <row r="76" spans="1:42" x14ac:dyDescent="0.2">
      <c r="A76" s="41" t="s">
        <v>74</v>
      </c>
      <c r="B76" s="44"/>
      <c r="C76" s="44"/>
      <c r="D76" s="44"/>
      <c r="E76" s="76"/>
      <c r="F76" s="68">
        <f>VLOOKUP(A76,APR!$A$4:$K$99,11,0)</f>
        <v>1252684</v>
      </c>
      <c r="G76" s="76"/>
      <c r="H76" s="68">
        <f t="shared" si="92"/>
        <v>-1252684</v>
      </c>
      <c r="I76" s="68">
        <f>VLOOKUP(A76,MAY!$A$4:$K$99,11,0)</f>
        <v>108860</v>
      </c>
      <c r="J76" s="76"/>
      <c r="K76" s="68">
        <f t="shared" si="93"/>
        <v>-1361544</v>
      </c>
      <c r="L76" s="68">
        <f>VLOOKUP(A76,JUN!$A$4:$K$99,11,0)</f>
        <v>812111</v>
      </c>
      <c r="M76" s="76"/>
      <c r="N76" s="68">
        <f t="shared" si="94"/>
        <v>-2173655</v>
      </c>
      <c r="O76" s="68">
        <f>VLOOKUP(A76,JUL!$A$4:$K$99,11,0)</f>
        <v>30000</v>
      </c>
      <c r="P76" s="76">
        <v>1500000</v>
      </c>
      <c r="Q76" s="68">
        <f t="shared" si="95"/>
        <v>-703655</v>
      </c>
      <c r="R76" s="76"/>
      <c r="S76" s="76"/>
      <c r="T76" s="68">
        <f t="shared" si="96"/>
        <v>-703655</v>
      </c>
      <c r="U76" s="76"/>
      <c r="V76" s="76"/>
      <c r="W76" s="68">
        <f t="shared" si="97"/>
        <v>-703655</v>
      </c>
      <c r="X76" s="76"/>
      <c r="Y76" s="76"/>
      <c r="Z76" s="68">
        <f t="shared" si="98"/>
        <v>-703655</v>
      </c>
      <c r="AA76" s="76"/>
      <c r="AB76" s="76"/>
      <c r="AC76" s="68">
        <f t="shared" si="99"/>
        <v>-703655</v>
      </c>
      <c r="AD76" s="76"/>
      <c r="AE76" s="76"/>
      <c r="AF76" s="68">
        <f t="shared" si="100"/>
        <v>-703655</v>
      </c>
      <c r="AG76" s="76"/>
      <c r="AH76" s="76"/>
      <c r="AI76" s="68">
        <f t="shared" si="101"/>
        <v>-703655</v>
      </c>
      <c r="AJ76" s="76"/>
      <c r="AK76" s="76"/>
      <c r="AL76" s="68">
        <f t="shared" si="102"/>
        <v>-703655</v>
      </c>
      <c r="AM76" s="77"/>
      <c r="AN76" s="78">
        <f t="shared" si="103"/>
        <v>1500000</v>
      </c>
      <c r="AO76" s="79">
        <f t="shared" si="104"/>
        <v>2203655</v>
      </c>
      <c r="AP76" s="78">
        <f t="shared" si="105"/>
        <v>-703655</v>
      </c>
    </row>
    <row r="77" spans="1:42" x14ac:dyDescent="0.2">
      <c r="A77" s="41" t="s">
        <v>75</v>
      </c>
      <c r="B77" s="44"/>
      <c r="C77" s="44"/>
      <c r="D77" s="44"/>
      <c r="E77" s="76"/>
      <c r="F77" s="68">
        <f>VLOOKUP(A77,APR!$A$4:$K$99,11,0)</f>
        <v>0</v>
      </c>
      <c r="G77" s="76"/>
      <c r="H77" s="68">
        <f t="shared" si="92"/>
        <v>0</v>
      </c>
      <c r="I77" s="68">
        <f>VLOOKUP(A77,MAY!$A$4:$K$99,11,0)</f>
        <v>0</v>
      </c>
      <c r="J77" s="76"/>
      <c r="K77" s="68">
        <f t="shared" si="93"/>
        <v>0</v>
      </c>
      <c r="L77" s="68">
        <f>VLOOKUP(A77,JUN!$A$4:$K$99,11,0)</f>
        <v>0</v>
      </c>
      <c r="M77" s="76"/>
      <c r="N77" s="68">
        <f t="shared" si="94"/>
        <v>0</v>
      </c>
      <c r="O77" s="68">
        <f>VLOOKUP(A77,JUL!$A$4:$K$99,11,0)</f>
        <v>0</v>
      </c>
      <c r="P77" s="106">
        <v>20886000</v>
      </c>
      <c r="Q77" s="68">
        <f t="shared" si="95"/>
        <v>20886000</v>
      </c>
      <c r="R77" s="106"/>
      <c r="S77" s="76"/>
      <c r="T77" s="68">
        <f t="shared" si="96"/>
        <v>20886000</v>
      </c>
      <c r="U77" s="76"/>
      <c r="V77" s="76"/>
      <c r="W77" s="68">
        <f t="shared" si="97"/>
        <v>20886000</v>
      </c>
      <c r="X77" s="76"/>
      <c r="Y77" s="76"/>
      <c r="Z77" s="68">
        <f t="shared" si="98"/>
        <v>20886000</v>
      </c>
      <c r="AA77" s="76"/>
      <c r="AB77" s="76"/>
      <c r="AC77" s="68">
        <f t="shared" si="99"/>
        <v>20886000</v>
      </c>
      <c r="AD77" s="76"/>
      <c r="AE77" s="76"/>
      <c r="AF77" s="68">
        <f t="shared" si="100"/>
        <v>20886000</v>
      </c>
      <c r="AG77" s="76"/>
      <c r="AH77" s="76"/>
      <c r="AI77" s="68">
        <f t="shared" si="101"/>
        <v>20886000</v>
      </c>
      <c r="AJ77" s="76"/>
      <c r="AK77" s="76"/>
      <c r="AL77" s="68">
        <f t="shared" si="102"/>
        <v>20886000</v>
      </c>
      <c r="AM77" s="77"/>
      <c r="AN77" s="78">
        <f t="shared" si="103"/>
        <v>20886000</v>
      </c>
      <c r="AO77" s="79">
        <f t="shared" si="104"/>
        <v>0</v>
      </c>
      <c r="AP77" s="78">
        <f t="shared" si="105"/>
        <v>20886000</v>
      </c>
    </row>
    <row r="78" spans="1:42" x14ac:dyDescent="0.2">
      <c r="A78" s="41" t="s">
        <v>76</v>
      </c>
      <c r="B78" s="44"/>
      <c r="C78" s="44"/>
      <c r="D78" s="44"/>
      <c r="E78" s="76"/>
      <c r="F78" s="68">
        <f>VLOOKUP(A78,APR!$A$4:$K$99,11,0)</f>
        <v>1888000</v>
      </c>
      <c r="G78" s="76"/>
      <c r="H78" s="68">
        <f t="shared" si="92"/>
        <v>-1888000</v>
      </c>
      <c r="I78" s="68">
        <f>VLOOKUP(A78,MAY!$A$4:$K$99,11,0)</f>
        <v>295000</v>
      </c>
      <c r="J78" s="76"/>
      <c r="K78" s="68">
        <f t="shared" si="93"/>
        <v>-2183000</v>
      </c>
      <c r="L78" s="68">
        <f>VLOOKUP(A78,JUN!$A$4:$K$99,11,0)</f>
        <v>401200</v>
      </c>
      <c r="M78" s="76"/>
      <c r="N78" s="68">
        <f t="shared" si="94"/>
        <v>-2584200</v>
      </c>
      <c r="O78" s="68">
        <f>VLOOKUP(A78,JUL!$A$4:$K$99,11,0)</f>
        <v>0</v>
      </c>
      <c r="P78" s="76">
        <v>194700</v>
      </c>
      <c r="Q78" s="68">
        <f t="shared" si="95"/>
        <v>-2389500</v>
      </c>
      <c r="R78" s="76"/>
      <c r="S78" s="76"/>
      <c r="T78" s="68">
        <f t="shared" si="96"/>
        <v>-2389500</v>
      </c>
      <c r="U78" s="76"/>
      <c r="V78" s="76"/>
      <c r="W78" s="68">
        <f t="shared" si="97"/>
        <v>-2389500</v>
      </c>
      <c r="X78" s="76"/>
      <c r="Y78" s="76"/>
      <c r="Z78" s="68">
        <f t="shared" si="98"/>
        <v>-2389500</v>
      </c>
      <c r="AA78" s="76"/>
      <c r="AB78" s="76"/>
      <c r="AC78" s="68">
        <f t="shared" si="99"/>
        <v>-2389500</v>
      </c>
      <c r="AD78" s="76"/>
      <c r="AE78" s="76"/>
      <c r="AF78" s="68">
        <f t="shared" si="100"/>
        <v>-2389500</v>
      </c>
      <c r="AG78" s="76"/>
      <c r="AH78" s="76"/>
      <c r="AI78" s="68">
        <f t="shared" si="101"/>
        <v>-2389500</v>
      </c>
      <c r="AJ78" s="76"/>
      <c r="AK78" s="76"/>
      <c r="AL78" s="68">
        <f t="shared" si="102"/>
        <v>-2389500</v>
      </c>
      <c r="AM78" s="77"/>
      <c r="AN78" s="78">
        <f t="shared" si="103"/>
        <v>194700</v>
      </c>
      <c r="AO78" s="79">
        <f t="shared" si="104"/>
        <v>2584200</v>
      </c>
      <c r="AP78" s="78">
        <f t="shared" si="105"/>
        <v>-2389500</v>
      </c>
    </row>
    <row r="79" spans="1:42" x14ac:dyDescent="0.2">
      <c r="A79" s="41" t="s">
        <v>62</v>
      </c>
      <c r="B79" s="44"/>
      <c r="C79" s="44"/>
      <c r="D79" s="44"/>
      <c r="E79" s="76"/>
      <c r="F79" s="68">
        <f>VLOOKUP(A79,APR!$A$4:$K$99,11,0)</f>
        <v>0</v>
      </c>
      <c r="G79" s="76"/>
      <c r="H79" s="68">
        <f t="shared" si="92"/>
        <v>0</v>
      </c>
      <c r="I79" s="68">
        <f>VLOOKUP(A79,MAY!$A$4:$K$99,11,0)</f>
        <v>242848</v>
      </c>
      <c r="J79" s="76"/>
      <c r="K79" s="68">
        <f t="shared" si="93"/>
        <v>-242848</v>
      </c>
      <c r="L79" s="68">
        <f>VLOOKUP(A79,JUN!$A$4:$K$99,11,0)</f>
        <v>0</v>
      </c>
      <c r="M79" s="76"/>
      <c r="N79" s="68">
        <f t="shared" si="94"/>
        <v>-242848</v>
      </c>
      <c r="O79" s="68">
        <f>VLOOKUP(A79,JUL!$A$4:$K$99,11,0)</f>
        <v>0</v>
      </c>
      <c r="P79" s="76">
        <v>300000</v>
      </c>
      <c r="Q79" s="68">
        <f t="shared" si="95"/>
        <v>57152</v>
      </c>
      <c r="R79" s="76"/>
      <c r="S79" s="76"/>
      <c r="T79" s="68">
        <f t="shared" si="96"/>
        <v>57152</v>
      </c>
      <c r="U79" s="76"/>
      <c r="V79" s="76"/>
      <c r="W79" s="68">
        <f t="shared" si="97"/>
        <v>57152</v>
      </c>
      <c r="X79" s="76"/>
      <c r="Y79" s="76"/>
      <c r="Z79" s="68">
        <f t="shared" si="98"/>
        <v>57152</v>
      </c>
      <c r="AA79" s="76"/>
      <c r="AB79" s="76"/>
      <c r="AC79" s="68">
        <f t="shared" si="99"/>
        <v>57152</v>
      </c>
      <c r="AD79" s="76"/>
      <c r="AE79" s="76"/>
      <c r="AF79" s="68">
        <f t="shared" si="100"/>
        <v>57152</v>
      </c>
      <c r="AG79" s="76"/>
      <c r="AH79" s="76"/>
      <c r="AI79" s="68">
        <f t="shared" si="101"/>
        <v>57152</v>
      </c>
      <c r="AJ79" s="76"/>
      <c r="AK79" s="76"/>
      <c r="AL79" s="68">
        <f t="shared" si="102"/>
        <v>57152</v>
      </c>
      <c r="AM79" s="77"/>
      <c r="AN79" s="78">
        <f t="shared" si="103"/>
        <v>300000</v>
      </c>
      <c r="AO79" s="79">
        <f t="shared" si="104"/>
        <v>242848</v>
      </c>
      <c r="AP79" s="78">
        <f t="shared" si="105"/>
        <v>57152</v>
      </c>
    </row>
    <row r="80" spans="1:42" x14ac:dyDescent="0.2">
      <c r="A80" s="41" t="s">
        <v>77</v>
      </c>
      <c r="B80" s="44"/>
      <c r="C80" s="44"/>
      <c r="D80" s="44"/>
      <c r="E80" s="76"/>
      <c r="F80" s="68">
        <f>VLOOKUP(A80,APR!$A$4:$K$99,11,0)</f>
        <v>0</v>
      </c>
      <c r="G80" s="76"/>
      <c r="H80" s="68">
        <f t="shared" si="92"/>
        <v>0</v>
      </c>
      <c r="I80" s="68">
        <f>VLOOKUP(A80,MAY!$A$4:$K$99,11,0)</f>
        <v>0</v>
      </c>
      <c r="J80" s="76"/>
      <c r="K80" s="68">
        <f t="shared" si="93"/>
        <v>0</v>
      </c>
      <c r="L80" s="68">
        <f>VLOOKUP(A80,JUN!$A$4:$K$99,11,0)</f>
        <v>109999.9</v>
      </c>
      <c r="M80" s="76"/>
      <c r="N80" s="68">
        <f t="shared" si="94"/>
        <v>-109999.9</v>
      </c>
      <c r="O80" s="68">
        <f>VLOOKUP(A80,JUL!$A$4:$K$99,11,0)</f>
        <v>0</v>
      </c>
      <c r="P80" s="76">
        <v>2000000</v>
      </c>
      <c r="Q80" s="68">
        <f t="shared" si="95"/>
        <v>1890000.1</v>
      </c>
      <c r="R80" s="76"/>
      <c r="S80" s="76"/>
      <c r="T80" s="68">
        <f t="shared" si="96"/>
        <v>1890000.1</v>
      </c>
      <c r="U80" s="76"/>
      <c r="V80" s="76"/>
      <c r="W80" s="68">
        <f t="shared" si="97"/>
        <v>1890000.1</v>
      </c>
      <c r="X80" s="76"/>
      <c r="Y80" s="76"/>
      <c r="Z80" s="68">
        <f t="shared" si="98"/>
        <v>1890000.1</v>
      </c>
      <c r="AA80" s="76"/>
      <c r="AB80" s="76"/>
      <c r="AC80" s="68">
        <f t="shared" si="99"/>
        <v>1890000.1</v>
      </c>
      <c r="AD80" s="76"/>
      <c r="AE80" s="76"/>
      <c r="AF80" s="68">
        <f t="shared" si="100"/>
        <v>1890000.1</v>
      </c>
      <c r="AG80" s="76"/>
      <c r="AH80" s="76"/>
      <c r="AI80" s="68">
        <f t="shared" si="101"/>
        <v>1890000.1</v>
      </c>
      <c r="AJ80" s="76"/>
      <c r="AK80" s="76"/>
      <c r="AL80" s="68">
        <f t="shared" si="102"/>
        <v>1890000.1</v>
      </c>
      <c r="AM80" s="77"/>
      <c r="AN80" s="78">
        <f t="shared" si="103"/>
        <v>2000000</v>
      </c>
      <c r="AO80" s="79">
        <f t="shared" si="104"/>
        <v>109999.9</v>
      </c>
      <c r="AP80" s="78">
        <f t="shared" si="105"/>
        <v>1890000.1</v>
      </c>
    </row>
    <row r="81" spans="1:42" x14ac:dyDescent="0.2">
      <c r="A81" s="41" t="s">
        <v>78</v>
      </c>
      <c r="B81" s="44"/>
      <c r="C81" s="44"/>
      <c r="D81" s="44"/>
      <c r="E81" s="76"/>
      <c r="F81" s="68">
        <f>VLOOKUP(A81,APR!$A$4:$K$99,11,0)</f>
        <v>0</v>
      </c>
      <c r="G81" s="76"/>
      <c r="H81" s="68">
        <f t="shared" si="92"/>
        <v>0</v>
      </c>
      <c r="I81" s="68">
        <f>VLOOKUP(A81,MAY!$A$4:$K$99,11,0)</f>
        <v>0</v>
      </c>
      <c r="J81" s="76"/>
      <c r="K81" s="68">
        <f t="shared" si="93"/>
        <v>0</v>
      </c>
      <c r="L81" s="68">
        <f>VLOOKUP(A81,JUN!$A$4:$K$99,11,0)</f>
        <v>0</v>
      </c>
      <c r="M81" s="76"/>
      <c r="N81" s="68">
        <f t="shared" si="94"/>
        <v>0</v>
      </c>
      <c r="O81" s="68">
        <f>VLOOKUP(A81,JUL!$A$4:$K$99,11,0)</f>
        <v>0</v>
      </c>
      <c r="P81" s="76">
        <v>295000</v>
      </c>
      <c r="Q81" s="68">
        <f t="shared" si="95"/>
        <v>295000</v>
      </c>
      <c r="R81" s="76"/>
      <c r="S81" s="76"/>
      <c r="T81" s="68">
        <f t="shared" si="96"/>
        <v>295000</v>
      </c>
      <c r="U81" s="76"/>
      <c r="V81" s="76"/>
      <c r="W81" s="68">
        <f t="shared" si="97"/>
        <v>295000</v>
      </c>
      <c r="X81" s="76"/>
      <c r="Y81" s="76"/>
      <c r="Z81" s="68">
        <f t="shared" si="98"/>
        <v>295000</v>
      </c>
      <c r="AA81" s="76"/>
      <c r="AB81" s="76"/>
      <c r="AC81" s="68">
        <f t="shared" si="99"/>
        <v>295000</v>
      </c>
      <c r="AD81" s="76"/>
      <c r="AE81" s="76"/>
      <c r="AF81" s="68">
        <f t="shared" si="100"/>
        <v>295000</v>
      </c>
      <c r="AG81" s="76"/>
      <c r="AH81" s="76"/>
      <c r="AI81" s="68">
        <f t="shared" si="101"/>
        <v>295000</v>
      </c>
      <c r="AJ81" s="76"/>
      <c r="AK81" s="76"/>
      <c r="AL81" s="68">
        <f t="shared" si="102"/>
        <v>295000</v>
      </c>
      <c r="AM81" s="77"/>
      <c r="AN81" s="78">
        <f t="shared" si="103"/>
        <v>295000</v>
      </c>
      <c r="AO81" s="79">
        <f t="shared" si="104"/>
        <v>0</v>
      </c>
      <c r="AP81" s="78">
        <f t="shared" si="105"/>
        <v>295000</v>
      </c>
    </row>
    <row r="82" spans="1:42" x14ac:dyDescent="0.2">
      <c r="A82" s="41" t="s">
        <v>79</v>
      </c>
      <c r="B82" s="44"/>
      <c r="C82" s="44"/>
      <c r="D82" s="44"/>
      <c r="E82" s="76"/>
      <c r="F82" s="68">
        <f>VLOOKUP(A82,APR!$A$4:$K$99,11,0)</f>
        <v>0</v>
      </c>
      <c r="G82" s="76"/>
      <c r="H82" s="68">
        <f t="shared" si="92"/>
        <v>0</v>
      </c>
      <c r="I82" s="68">
        <f>VLOOKUP(A82,MAY!$A$4:$K$99,11,0)</f>
        <v>0</v>
      </c>
      <c r="J82" s="76"/>
      <c r="K82" s="68">
        <f t="shared" si="93"/>
        <v>0</v>
      </c>
      <c r="L82" s="68">
        <f>VLOOKUP(A82,JUN!$A$4:$K$99,11,0)</f>
        <v>1756000</v>
      </c>
      <c r="M82" s="76"/>
      <c r="N82" s="68">
        <f t="shared" si="94"/>
        <v>-1756000</v>
      </c>
      <c r="O82" s="68">
        <f>VLOOKUP(A82,JUL!$A$4:$K$99,11,0)</f>
        <v>0</v>
      </c>
      <c r="P82" s="76">
        <v>590000</v>
      </c>
      <c r="Q82" s="68">
        <f t="shared" si="95"/>
        <v>-1166000</v>
      </c>
      <c r="R82" s="76"/>
      <c r="S82" s="76"/>
      <c r="T82" s="68">
        <f t="shared" si="96"/>
        <v>-1166000</v>
      </c>
      <c r="U82" s="76"/>
      <c r="V82" s="76"/>
      <c r="W82" s="68">
        <f t="shared" si="97"/>
        <v>-1166000</v>
      </c>
      <c r="X82" s="76"/>
      <c r="Y82" s="76"/>
      <c r="Z82" s="68">
        <f t="shared" si="98"/>
        <v>-1166000</v>
      </c>
      <c r="AA82" s="76"/>
      <c r="AB82" s="76"/>
      <c r="AC82" s="68">
        <f t="shared" si="99"/>
        <v>-1166000</v>
      </c>
      <c r="AD82" s="76"/>
      <c r="AE82" s="76"/>
      <c r="AF82" s="68">
        <f t="shared" si="100"/>
        <v>-1166000</v>
      </c>
      <c r="AG82" s="76"/>
      <c r="AH82" s="76"/>
      <c r="AI82" s="68">
        <f t="shared" si="101"/>
        <v>-1166000</v>
      </c>
      <c r="AJ82" s="76"/>
      <c r="AK82" s="76"/>
      <c r="AL82" s="68">
        <f t="shared" si="102"/>
        <v>-1166000</v>
      </c>
      <c r="AM82" s="77"/>
      <c r="AN82" s="78">
        <f t="shared" si="103"/>
        <v>590000</v>
      </c>
      <c r="AO82" s="79">
        <f t="shared" si="104"/>
        <v>1756000</v>
      </c>
      <c r="AP82" s="78">
        <f t="shared" si="105"/>
        <v>-1166000</v>
      </c>
    </row>
    <row r="83" spans="1:42" x14ac:dyDescent="0.2">
      <c r="A83" s="41" t="s">
        <v>80</v>
      </c>
      <c r="B83" s="44"/>
      <c r="C83" s="44"/>
      <c r="D83" s="44"/>
      <c r="E83" s="76"/>
      <c r="F83" s="68">
        <f>VLOOKUP(A83,APR!$A$4:$K$99,11,0)</f>
        <v>0</v>
      </c>
      <c r="G83" s="76"/>
      <c r="H83" s="68">
        <f t="shared" si="92"/>
        <v>0</v>
      </c>
      <c r="I83" s="68">
        <f>VLOOKUP(A83,MAY!$A$4:$K$99,11,0)</f>
        <v>0</v>
      </c>
      <c r="J83" s="76"/>
      <c r="K83" s="68">
        <f t="shared" si="93"/>
        <v>0</v>
      </c>
      <c r="L83" s="68">
        <f>VLOOKUP(A83,JUN!$A$4:$K$99,11,0)</f>
        <v>43204</v>
      </c>
      <c r="M83" s="76"/>
      <c r="N83" s="68">
        <f t="shared" si="94"/>
        <v>-43204</v>
      </c>
      <c r="O83" s="68">
        <f>VLOOKUP(A83,JUL!$A$4:$K$99,11,0)</f>
        <v>0</v>
      </c>
      <c r="P83" s="76">
        <v>100000</v>
      </c>
      <c r="Q83" s="68">
        <f t="shared" si="95"/>
        <v>56796</v>
      </c>
      <c r="R83" s="76"/>
      <c r="S83" s="76"/>
      <c r="T83" s="68">
        <f t="shared" si="96"/>
        <v>56796</v>
      </c>
      <c r="U83" s="76"/>
      <c r="V83" s="76"/>
      <c r="W83" s="68">
        <f t="shared" si="97"/>
        <v>56796</v>
      </c>
      <c r="X83" s="76"/>
      <c r="Y83" s="76"/>
      <c r="Z83" s="68">
        <f t="shared" si="98"/>
        <v>56796</v>
      </c>
      <c r="AA83" s="76"/>
      <c r="AB83" s="76"/>
      <c r="AC83" s="68">
        <f t="shared" si="99"/>
        <v>56796</v>
      </c>
      <c r="AD83" s="76"/>
      <c r="AE83" s="76"/>
      <c r="AF83" s="68">
        <f t="shared" si="100"/>
        <v>56796</v>
      </c>
      <c r="AG83" s="76"/>
      <c r="AH83" s="76"/>
      <c r="AI83" s="68">
        <f t="shared" si="101"/>
        <v>56796</v>
      </c>
      <c r="AJ83" s="76"/>
      <c r="AK83" s="76"/>
      <c r="AL83" s="68">
        <f t="shared" si="102"/>
        <v>56796</v>
      </c>
      <c r="AM83" s="77"/>
      <c r="AN83" s="78">
        <f t="shared" si="103"/>
        <v>100000</v>
      </c>
      <c r="AO83" s="79">
        <f t="shared" si="104"/>
        <v>43204</v>
      </c>
      <c r="AP83" s="78">
        <f t="shared" si="105"/>
        <v>56796</v>
      </c>
    </row>
    <row r="84" spans="1:42" x14ac:dyDescent="0.2">
      <c r="A84" s="41" t="s">
        <v>81</v>
      </c>
      <c r="B84" s="44"/>
      <c r="C84" s="44"/>
      <c r="D84" s="44"/>
      <c r="E84" s="76"/>
      <c r="F84" s="68">
        <f>VLOOKUP(A84,APR!$A$4:$K$99,11,0)</f>
        <v>0</v>
      </c>
      <c r="G84" s="76"/>
      <c r="H84" s="68">
        <f t="shared" si="92"/>
        <v>0</v>
      </c>
      <c r="I84" s="68">
        <f>VLOOKUP(A84,MAY!$A$4:$K$99,11,0)</f>
        <v>0</v>
      </c>
      <c r="J84" s="76"/>
      <c r="K84" s="68">
        <f t="shared" si="93"/>
        <v>0</v>
      </c>
      <c r="L84" s="68">
        <f>VLOOKUP(A84,JUN!$A$4:$K$99,11,0)</f>
        <v>0</v>
      </c>
      <c r="M84" s="76"/>
      <c r="N84" s="68">
        <f t="shared" si="94"/>
        <v>0</v>
      </c>
      <c r="O84" s="68">
        <f>VLOOKUP(A84,JUL!$A$4:$K$99,11,0)</f>
        <v>0</v>
      </c>
      <c r="P84" s="76">
        <v>800000</v>
      </c>
      <c r="Q84" s="68">
        <f t="shared" si="95"/>
        <v>800000</v>
      </c>
      <c r="R84" s="76"/>
      <c r="S84" s="76"/>
      <c r="T84" s="68">
        <f t="shared" si="96"/>
        <v>800000</v>
      </c>
      <c r="U84" s="76"/>
      <c r="V84" s="76"/>
      <c r="W84" s="68">
        <f t="shared" si="97"/>
        <v>800000</v>
      </c>
      <c r="X84" s="76"/>
      <c r="Y84" s="76"/>
      <c r="Z84" s="68">
        <f t="shared" si="98"/>
        <v>800000</v>
      </c>
      <c r="AA84" s="76"/>
      <c r="AB84" s="76"/>
      <c r="AC84" s="68">
        <f t="shared" si="99"/>
        <v>800000</v>
      </c>
      <c r="AD84" s="76"/>
      <c r="AE84" s="76"/>
      <c r="AF84" s="68">
        <f t="shared" si="100"/>
        <v>800000</v>
      </c>
      <c r="AG84" s="76"/>
      <c r="AH84" s="76"/>
      <c r="AI84" s="68">
        <f t="shared" si="101"/>
        <v>800000</v>
      </c>
      <c r="AJ84" s="76"/>
      <c r="AK84" s="76"/>
      <c r="AL84" s="68">
        <f t="shared" si="102"/>
        <v>800000</v>
      </c>
      <c r="AM84" s="77"/>
      <c r="AN84" s="78">
        <f t="shared" si="103"/>
        <v>800000</v>
      </c>
      <c r="AO84" s="79">
        <f t="shared" si="104"/>
        <v>0</v>
      </c>
      <c r="AP84" s="78">
        <f t="shared" si="105"/>
        <v>800000</v>
      </c>
    </row>
    <row r="85" spans="1:42" x14ac:dyDescent="0.2">
      <c r="A85" s="41" t="s">
        <v>82</v>
      </c>
      <c r="B85" s="44"/>
      <c r="C85" s="44"/>
      <c r="D85" s="44"/>
      <c r="E85" s="76"/>
      <c r="F85" s="68">
        <f>VLOOKUP(A85,APR!$A$4:$K$99,11,0)</f>
        <v>0</v>
      </c>
      <c r="G85" s="76"/>
      <c r="H85" s="68">
        <f t="shared" si="92"/>
        <v>0</v>
      </c>
      <c r="I85" s="68">
        <f>VLOOKUP(A85,MAY!$A$4:$K$99,11,0)</f>
        <v>0</v>
      </c>
      <c r="J85" s="76"/>
      <c r="K85" s="68">
        <f t="shared" si="93"/>
        <v>0</v>
      </c>
      <c r="L85" s="68">
        <f>VLOOKUP(A85,JUN!$A$4:$K$99,11,0)</f>
        <v>0</v>
      </c>
      <c r="M85" s="76"/>
      <c r="N85" s="68">
        <f t="shared" si="94"/>
        <v>0</v>
      </c>
      <c r="O85" s="68">
        <f>VLOOKUP(A85,JUL!$A$4:$K$99,11,0)</f>
        <v>0</v>
      </c>
      <c r="P85" s="76">
        <v>200000</v>
      </c>
      <c r="Q85" s="68">
        <f t="shared" si="95"/>
        <v>200000</v>
      </c>
      <c r="R85" s="76"/>
      <c r="S85" s="76"/>
      <c r="T85" s="68">
        <f t="shared" si="96"/>
        <v>200000</v>
      </c>
      <c r="U85" s="76"/>
      <c r="V85" s="76"/>
      <c r="W85" s="68">
        <f t="shared" si="97"/>
        <v>200000</v>
      </c>
      <c r="X85" s="76"/>
      <c r="Y85" s="76"/>
      <c r="Z85" s="68">
        <f t="shared" si="98"/>
        <v>200000</v>
      </c>
      <c r="AA85" s="76"/>
      <c r="AB85" s="76"/>
      <c r="AC85" s="68">
        <f t="shared" si="99"/>
        <v>200000</v>
      </c>
      <c r="AD85" s="76"/>
      <c r="AE85" s="76"/>
      <c r="AF85" s="68">
        <f t="shared" si="100"/>
        <v>200000</v>
      </c>
      <c r="AG85" s="76"/>
      <c r="AH85" s="76"/>
      <c r="AI85" s="68">
        <f t="shared" si="101"/>
        <v>200000</v>
      </c>
      <c r="AJ85" s="76"/>
      <c r="AK85" s="76"/>
      <c r="AL85" s="68">
        <f t="shared" si="102"/>
        <v>200000</v>
      </c>
      <c r="AM85" s="77"/>
      <c r="AN85" s="78">
        <f t="shared" si="103"/>
        <v>200000</v>
      </c>
      <c r="AO85" s="79">
        <f t="shared" si="104"/>
        <v>0</v>
      </c>
      <c r="AP85" s="78">
        <f t="shared" si="105"/>
        <v>200000</v>
      </c>
    </row>
    <row r="86" spans="1:42" x14ac:dyDescent="0.2">
      <c r="A86" s="38" t="s">
        <v>83</v>
      </c>
      <c r="B86" s="39"/>
      <c r="C86" s="39"/>
      <c r="D86" s="39"/>
      <c r="E86" s="39">
        <f>SUM(E87:E87)</f>
        <v>0</v>
      </c>
      <c r="F86" s="39">
        <f t="shared" ref="F86:AM86" si="106">SUM(F87:F87)</f>
        <v>0</v>
      </c>
      <c r="G86" s="39">
        <f t="shared" si="106"/>
        <v>0</v>
      </c>
      <c r="H86" s="39">
        <f t="shared" si="106"/>
        <v>0</v>
      </c>
      <c r="I86" s="39">
        <f t="shared" si="106"/>
        <v>0</v>
      </c>
      <c r="J86" s="39">
        <f t="shared" si="106"/>
        <v>0</v>
      </c>
      <c r="K86" s="39">
        <f t="shared" si="106"/>
        <v>0</v>
      </c>
      <c r="L86" s="39">
        <f t="shared" si="106"/>
        <v>0</v>
      </c>
      <c r="M86" s="39">
        <f t="shared" si="106"/>
        <v>0</v>
      </c>
      <c r="N86" s="39">
        <f t="shared" si="106"/>
        <v>0</v>
      </c>
      <c r="O86" s="39">
        <f t="shared" si="106"/>
        <v>0</v>
      </c>
      <c r="P86" s="39">
        <f t="shared" si="106"/>
        <v>0</v>
      </c>
      <c r="Q86" s="39">
        <f t="shared" si="106"/>
        <v>0</v>
      </c>
      <c r="R86" s="39">
        <f t="shared" si="106"/>
        <v>0</v>
      </c>
      <c r="S86" s="39">
        <f t="shared" si="106"/>
        <v>50000000</v>
      </c>
      <c r="T86" s="39">
        <f t="shared" si="106"/>
        <v>50000000</v>
      </c>
      <c r="U86" s="39">
        <f t="shared" si="106"/>
        <v>0</v>
      </c>
      <c r="V86" s="39">
        <f t="shared" si="106"/>
        <v>0</v>
      </c>
      <c r="W86" s="39">
        <f t="shared" si="106"/>
        <v>50000000</v>
      </c>
      <c r="X86" s="39">
        <f t="shared" si="106"/>
        <v>0</v>
      </c>
      <c r="Y86" s="39">
        <f t="shared" si="106"/>
        <v>0</v>
      </c>
      <c r="Z86" s="39">
        <f t="shared" si="106"/>
        <v>50000000</v>
      </c>
      <c r="AA86" s="39">
        <f t="shared" si="106"/>
        <v>0</v>
      </c>
      <c r="AB86" s="39">
        <f t="shared" si="106"/>
        <v>0</v>
      </c>
      <c r="AC86" s="39">
        <f t="shared" si="106"/>
        <v>50000000</v>
      </c>
      <c r="AD86" s="39">
        <f t="shared" si="106"/>
        <v>0</v>
      </c>
      <c r="AE86" s="39">
        <f t="shared" si="106"/>
        <v>0</v>
      </c>
      <c r="AF86" s="39">
        <f t="shared" si="106"/>
        <v>50000000</v>
      </c>
      <c r="AG86" s="39">
        <f t="shared" si="106"/>
        <v>0</v>
      </c>
      <c r="AH86" s="39">
        <f t="shared" si="106"/>
        <v>0</v>
      </c>
      <c r="AI86" s="39">
        <f t="shared" si="106"/>
        <v>50000000</v>
      </c>
      <c r="AJ86" s="39">
        <f t="shared" si="106"/>
        <v>0</v>
      </c>
      <c r="AK86" s="39">
        <f t="shared" si="106"/>
        <v>0</v>
      </c>
      <c r="AL86" s="39">
        <f t="shared" si="106"/>
        <v>50000000</v>
      </c>
      <c r="AM86" s="39">
        <f t="shared" si="106"/>
        <v>0</v>
      </c>
      <c r="AN86" s="51">
        <f t="shared" si="103"/>
        <v>50000000</v>
      </c>
      <c r="AO86" s="55">
        <f t="shared" si="104"/>
        <v>0</v>
      </c>
      <c r="AP86" s="51">
        <f t="shared" si="105"/>
        <v>50000000</v>
      </c>
    </row>
    <row r="87" spans="1:42" x14ac:dyDescent="0.2">
      <c r="A87" s="41" t="s">
        <v>84</v>
      </c>
      <c r="B87" s="44"/>
      <c r="C87" s="44"/>
      <c r="D87" s="44"/>
      <c r="E87" s="76"/>
      <c r="F87" s="68">
        <f>VLOOKUP(A87,APR!$A$4:$K$99,11,0)</f>
        <v>0</v>
      </c>
      <c r="G87" s="76"/>
      <c r="H87" s="68">
        <f>E87-F87+G87</f>
        <v>0</v>
      </c>
      <c r="I87" s="68">
        <f>VLOOKUP(A87,MAY!$A$4:$K$99,11,0)</f>
        <v>0</v>
      </c>
      <c r="J87" s="84"/>
      <c r="K87" s="68">
        <f>H87-I87+J87</f>
        <v>0</v>
      </c>
      <c r="L87" s="68">
        <f>VLOOKUP(A87,JUN!$A$4:$K$99,11,0)</f>
        <v>0</v>
      </c>
      <c r="M87" s="76"/>
      <c r="N87" s="68">
        <f>K87-L87+M87</f>
        <v>0</v>
      </c>
      <c r="O87" s="68">
        <f>VLOOKUP(A87,JUL!$A$4:$K$99,11,0)</f>
        <v>0</v>
      </c>
      <c r="P87" s="76"/>
      <c r="Q87" s="68">
        <f>N87-O87+P87</f>
        <v>0</v>
      </c>
      <c r="R87" s="76"/>
      <c r="S87" s="76">
        <v>50000000</v>
      </c>
      <c r="T87" s="68">
        <f>Q87-R87+S87</f>
        <v>50000000</v>
      </c>
      <c r="U87" s="76"/>
      <c r="V87" s="76"/>
      <c r="W87" s="68">
        <f>T87-U87+V87</f>
        <v>50000000</v>
      </c>
      <c r="X87" s="76"/>
      <c r="Y87" s="76"/>
      <c r="Z87" s="68">
        <f>W87-X87+Y87</f>
        <v>50000000</v>
      </c>
      <c r="AA87" s="76"/>
      <c r="AB87" s="76"/>
      <c r="AC87" s="68">
        <f>Z87-AA87+AB87</f>
        <v>50000000</v>
      </c>
      <c r="AD87" s="76"/>
      <c r="AE87" s="76"/>
      <c r="AF87" s="68">
        <f>AC87-AD87+AE87</f>
        <v>50000000</v>
      </c>
      <c r="AG87" s="76"/>
      <c r="AH87" s="76"/>
      <c r="AI87" s="68">
        <f>AF87-AG87+AH87</f>
        <v>50000000</v>
      </c>
      <c r="AJ87" s="76"/>
      <c r="AK87" s="76"/>
      <c r="AL87" s="68">
        <f>AI87-AJ87+AK87</f>
        <v>50000000</v>
      </c>
      <c r="AM87" s="77"/>
      <c r="AN87" s="78">
        <f t="shared" si="103"/>
        <v>50000000</v>
      </c>
      <c r="AO87" s="79">
        <f t="shared" si="104"/>
        <v>0</v>
      </c>
      <c r="AP87" s="78">
        <f t="shared" si="105"/>
        <v>50000000</v>
      </c>
    </row>
    <row r="88" spans="1:42" x14ac:dyDescent="0.2">
      <c r="A88" s="45" t="s">
        <v>85</v>
      </c>
      <c r="B88" s="39"/>
      <c r="C88" s="39"/>
      <c r="D88" s="39"/>
      <c r="E88" s="39">
        <f t="shared" ref="E88:AM88" si="107">E89+E90</f>
        <v>0</v>
      </c>
      <c r="F88" s="39">
        <f t="shared" si="107"/>
        <v>565573</v>
      </c>
      <c r="G88" s="39">
        <f t="shared" si="107"/>
        <v>0</v>
      </c>
      <c r="H88" s="39">
        <f t="shared" si="107"/>
        <v>-565573</v>
      </c>
      <c r="I88" s="39">
        <f t="shared" si="107"/>
        <v>202720</v>
      </c>
      <c r="J88" s="39">
        <f t="shared" si="107"/>
        <v>5500000</v>
      </c>
      <c r="K88" s="39">
        <f t="shared" si="107"/>
        <v>4731707</v>
      </c>
      <c r="L88" s="39">
        <f t="shared" si="107"/>
        <v>0</v>
      </c>
      <c r="M88" s="39">
        <f t="shared" si="107"/>
        <v>0</v>
      </c>
      <c r="N88" s="39">
        <f t="shared" si="107"/>
        <v>4731707</v>
      </c>
      <c r="O88" s="39">
        <f t="shared" si="107"/>
        <v>0</v>
      </c>
      <c r="P88" s="39">
        <f t="shared" si="107"/>
        <v>0</v>
      </c>
      <c r="Q88" s="39">
        <f t="shared" si="107"/>
        <v>4731707</v>
      </c>
      <c r="R88" s="39">
        <f t="shared" si="107"/>
        <v>0</v>
      </c>
      <c r="S88" s="39">
        <f t="shared" si="107"/>
        <v>5300000</v>
      </c>
      <c r="T88" s="39">
        <f t="shared" si="107"/>
        <v>10031707</v>
      </c>
      <c r="U88" s="39">
        <f t="shared" si="107"/>
        <v>0</v>
      </c>
      <c r="V88" s="39">
        <f t="shared" si="107"/>
        <v>0</v>
      </c>
      <c r="W88" s="39">
        <f t="shared" si="107"/>
        <v>10031707</v>
      </c>
      <c r="X88" s="39">
        <f t="shared" si="107"/>
        <v>0</v>
      </c>
      <c r="Y88" s="39">
        <f t="shared" si="107"/>
        <v>25000000</v>
      </c>
      <c r="Z88" s="39">
        <f t="shared" si="107"/>
        <v>35031707</v>
      </c>
      <c r="AA88" s="39">
        <f t="shared" si="107"/>
        <v>0</v>
      </c>
      <c r="AB88" s="39">
        <f t="shared" si="107"/>
        <v>5000000</v>
      </c>
      <c r="AC88" s="39">
        <f t="shared" si="107"/>
        <v>40031707</v>
      </c>
      <c r="AD88" s="39">
        <f t="shared" si="107"/>
        <v>0</v>
      </c>
      <c r="AE88" s="39">
        <f t="shared" si="107"/>
        <v>0</v>
      </c>
      <c r="AF88" s="39">
        <f t="shared" si="107"/>
        <v>40031707</v>
      </c>
      <c r="AG88" s="39">
        <f t="shared" si="107"/>
        <v>0</v>
      </c>
      <c r="AH88" s="39">
        <f t="shared" si="107"/>
        <v>0</v>
      </c>
      <c r="AI88" s="39">
        <f t="shared" si="107"/>
        <v>40031707</v>
      </c>
      <c r="AJ88" s="39">
        <f t="shared" si="107"/>
        <v>0</v>
      </c>
      <c r="AK88" s="39">
        <f t="shared" si="107"/>
        <v>0</v>
      </c>
      <c r="AL88" s="39">
        <f t="shared" si="107"/>
        <v>40031707</v>
      </c>
      <c r="AM88" s="39">
        <f t="shared" si="107"/>
        <v>0</v>
      </c>
      <c r="AN88" s="104">
        <f t="shared" si="103"/>
        <v>40800000</v>
      </c>
      <c r="AO88" s="105">
        <f t="shared" si="104"/>
        <v>768293</v>
      </c>
      <c r="AP88" s="104">
        <f t="shared" si="105"/>
        <v>40031707</v>
      </c>
    </row>
    <row r="89" spans="1:42" x14ac:dyDescent="0.2">
      <c r="A89" s="41" t="s">
        <v>86</v>
      </c>
      <c r="B89" s="44"/>
      <c r="C89" s="44"/>
      <c r="D89" s="44"/>
      <c r="E89" s="76"/>
      <c r="F89" s="68">
        <f>VLOOKUP(A89,APR!$A$4:$K$99,11,0)</f>
        <v>0</v>
      </c>
      <c r="G89" s="76"/>
      <c r="H89" s="68">
        <f>E89-F89+G89</f>
        <v>0</v>
      </c>
      <c r="I89" s="68">
        <f>VLOOKUP(A89,MAY!$A$4:$K$99,11,0)</f>
        <v>0</v>
      </c>
      <c r="J89" s="76">
        <v>5000000</v>
      </c>
      <c r="K89" s="68">
        <f>H89-I89+J89</f>
        <v>5000000</v>
      </c>
      <c r="L89" s="68">
        <f>VLOOKUP(A89,JUN!$A$4:$K$99,11,0)</f>
        <v>0</v>
      </c>
      <c r="M89" s="76"/>
      <c r="N89" s="68">
        <f>K89-L89+M89</f>
        <v>5000000</v>
      </c>
      <c r="O89" s="68">
        <f>VLOOKUP(A89,JUL!$A$4:$K$99,11,0)</f>
        <v>0</v>
      </c>
      <c r="P89" s="76"/>
      <c r="Q89" s="68">
        <f>N89-O89+P89</f>
        <v>5000000</v>
      </c>
      <c r="R89" s="76"/>
      <c r="S89" s="76">
        <v>5000000</v>
      </c>
      <c r="T89" s="68">
        <f>Q89-R89+S89</f>
        <v>10000000</v>
      </c>
      <c r="U89" s="76"/>
      <c r="V89" s="76"/>
      <c r="W89" s="68">
        <f>T89-U89+V89</f>
        <v>10000000</v>
      </c>
      <c r="X89" s="76"/>
      <c r="Y89" s="76"/>
      <c r="Z89" s="68">
        <f>W89-X89+Y89</f>
        <v>10000000</v>
      </c>
      <c r="AA89" s="76"/>
      <c r="AB89" s="76">
        <v>5000000</v>
      </c>
      <c r="AC89" s="68">
        <f>Z89-AA89+AB89</f>
        <v>15000000</v>
      </c>
      <c r="AD89" s="76"/>
      <c r="AE89" s="76"/>
      <c r="AF89" s="68">
        <f>AC89-AD89+AE89</f>
        <v>15000000</v>
      </c>
      <c r="AG89" s="76"/>
      <c r="AH89" s="76"/>
      <c r="AI89" s="68">
        <f>AF89-AG89+AH89</f>
        <v>15000000</v>
      </c>
      <c r="AJ89" s="76"/>
      <c r="AK89" s="76"/>
      <c r="AL89" s="68">
        <f>AI89-AJ89+AK89</f>
        <v>15000000</v>
      </c>
      <c r="AM89" s="77"/>
      <c r="AN89" s="78">
        <f t="shared" si="103"/>
        <v>15000000</v>
      </c>
      <c r="AO89" s="79">
        <f t="shared" si="104"/>
        <v>0</v>
      </c>
      <c r="AP89" s="78">
        <f t="shared" si="105"/>
        <v>15000000</v>
      </c>
    </row>
    <row r="90" spans="1:42" x14ac:dyDescent="0.2">
      <c r="A90" s="41" t="s">
        <v>87</v>
      </c>
      <c r="B90" s="44"/>
      <c r="C90" s="44"/>
      <c r="D90" s="44"/>
      <c r="E90" s="76"/>
      <c r="F90" s="68">
        <f>VLOOKUP(A90,APR!$A$4:$K$99,11,0)</f>
        <v>565573</v>
      </c>
      <c r="G90" s="76"/>
      <c r="H90" s="68">
        <f>E90-F90+G90</f>
        <v>-565573</v>
      </c>
      <c r="I90" s="68">
        <f>VLOOKUP(A90,MAY!$A$4:$K$99,11,0)</f>
        <v>202720</v>
      </c>
      <c r="J90" s="76">
        <v>500000</v>
      </c>
      <c r="K90" s="68">
        <f>H90-I90+J90</f>
        <v>-268293</v>
      </c>
      <c r="L90" s="68">
        <f>VLOOKUP(A90,JUN!$A$4:$K$99,11,0)</f>
        <v>0</v>
      </c>
      <c r="M90" s="84"/>
      <c r="N90" s="68">
        <f>K90-L90+M90</f>
        <v>-268293</v>
      </c>
      <c r="O90" s="68">
        <f>VLOOKUP(A90,JUL!$A$4:$K$99,11,0)</f>
        <v>0</v>
      </c>
      <c r="P90" s="76"/>
      <c r="Q90" s="68">
        <f>N90-O90+P90</f>
        <v>-268293</v>
      </c>
      <c r="R90" s="76"/>
      <c r="S90" s="76">
        <v>300000</v>
      </c>
      <c r="T90" s="68">
        <f>Q90-R90+S90</f>
        <v>31707</v>
      </c>
      <c r="U90" s="76"/>
      <c r="V90" s="76"/>
      <c r="W90" s="68">
        <f>T90-U90+V90</f>
        <v>31707</v>
      </c>
      <c r="X90" s="76"/>
      <c r="Y90" s="76">
        <v>25000000</v>
      </c>
      <c r="Z90" s="68">
        <f>W90-X90+Y90</f>
        <v>25031707</v>
      </c>
      <c r="AA90" s="76"/>
      <c r="AB90" s="76"/>
      <c r="AC90" s="68">
        <f>Z90-AA90+AB90</f>
        <v>25031707</v>
      </c>
      <c r="AD90" s="76"/>
      <c r="AE90" s="76"/>
      <c r="AF90" s="68">
        <f>AC90-AD90+AE90</f>
        <v>25031707</v>
      </c>
      <c r="AG90" s="76"/>
      <c r="AH90" s="76"/>
      <c r="AI90" s="68">
        <f>AF90-AG90+AH90</f>
        <v>25031707</v>
      </c>
      <c r="AJ90" s="76"/>
      <c r="AK90" s="76"/>
      <c r="AL90" s="68">
        <f>AI90-AJ90+AK90</f>
        <v>25031707</v>
      </c>
      <c r="AM90" s="77"/>
      <c r="AN90" s="78">
        <f t="shared" si="103"/>
        <v>25800000</v>
      </c>
      <c r="AO90" s="79">
        <f t="shared" si="104"/>
        <v>768293</v>
      </c>
      <c r="AP90" s="78">
        <f t="shared" si="105"/>
        <v>25031707</v>
      </c>
    </row>
    <row r="91" spans="1:42" x14ac:dyDescent="0.2">
      <c r="A91" s="38" t="s">
        <v>88</v>
      </c>
      <c r="B91" s="39">
        <v>875767</v>
      </c>
      <c r="C91" s="39">
        <v>35.799999999999997</v>
      </c>
      <c r="D91" s="39">
        <v>20</v>
      </c>
      <c r="E91" s="39">
        <f>+SUM(E92:E98)</f>
        <v>12006000</v>
      </c>
      <c r="F91" s="39">
        <f t="shared" ref="F91:AM91" si="108">+SUM(F92:F98)</f>
        <v>0</v>
      </c>
      <c r="G91" s="39">
        <f t="shared" si="108"/>
        <v>11400000</v>
      </c>
      <c r="H91" s="39">
        <f t="shared" si="108"/>
        <v>23406000</v>
      </c>
      <c r="I91" s="39">
        <f t="shared" si="108"/>
        <v>6108203.6699999999</v>
      </c>
      <c r="J91" s="39">
        <f t="shared" si="108"/>
        <v>11400000</v>
      </c>
      <c r="K91" s="39">
        <f t="shared" si="108"/>
        <v>28697796.329999998</v>
      </c>
      <c r="L91" s="39">
        <f t="shared" si="108"/>
        <v>11216527.939999999</v>
      </c>
      <c r="M91" s="39">
        <f t="shared" si="108"/>
        <v>11400000</v>
      </c>
      <c r="N91" s="39">
        <f t="shared" si="108"/>
        <v>28881268.390000001</v>
      </c>
      <c r="O91" s="39">
        <f t="shared" si="108"/>
        <v>3303425.16</v>
      </c>
      <c r="P91" s="39">
        <f t="shared" si="108"/>
        <v>10550000</v>
      </c>
      <c r="Q91" s="39">
        <f t="shared" si="108"/>
        <v>36127843.230000004</v>
      </c>
      <c r="R91" s="39">
        <f t="shared" si="108"/>
        <v>0</v>
      </c>
      <c r="S91" s="39">
        <f t="shared" si="108"/>
        <v>9850000</v>
      </c>
      <c r="T91" s="39">
        <f t="shared" si="108"/>
        <v>45977843.230000004</v>
      </c>
      <c r="U91" s="39">
        <f t="shared" si="108"/>
        <v>0</v>
      </c>
      <c r="V91" s="39">
        <f t="shared" si="108"/>
        <v>10550000</v>
      </c>
      <c r="W91" s="39">
        <f t="shared" si="108"/>
        <v>56527843.230000004</v>
      </c>
      <c r="X91" s="39">
        <f t="shared" si="108"/>
        <v>0</v>
      </c>
      <c r="Y91" s="39">
        <f t="shared" si="108"/>
        <v>10550000</v>
      </c>
      <c r="Z91" s="39">
        <f t="shared" si="108"/>
        <v>67077843.230000004</v>
      </c>
      <c r="AA91" s="39">
        <f t="shared" si="108"/>
        <v>0</v>
      </c>
      <c r="AB91" s="39">
        <f t="shared" si="108"/>
        <v>10550000</v>
      </c>
      <c r="AC91" s="39">
        <f t="shared" si="108"/>
        <v>77627843.230000004</v>
      </c>
      <c r="AD91" s="39">
        <f t="shared" si="108"/>
        <v>0</v>
      </c>
      <c r="AE91" s="39">
        <f t="shared" si="108"/>
        <v>9350000</v>
      </c>
      <c r="AF91" s="39">
        <f t="shared" si="108"/>
        <v>86977843.230000004</v>
      </c>
      <c r="AG91" s="39">
        <f t="shared" si="108"/>
        <v>0</v>
      </c>
      <c r="AH91" s="39">
        <f t="shared" si="108"/>
        <v>9350000</v>
      </c>
      <c r="AI91" s="39">
        <f t="shared" si="108"/>
        <v>96327843.230000004</v>
      </c>
      <c r="AJ91" s="39">
        <f t="shared" si="108"/>
        <v>0</v>
      </c>
      <c r="AK91" s="39">
        <f t="shared" si="108"/>
        <v>9350000</v>
      </c>
      <c r="AL91" s="39">
        <f t="shared" si="108"/>
        <v>105677843.22999999</v>
      </c>
      <c r="AM91" s="39">
        <f t="shared" si="108"/>
        <v>0</v>
      </c>
      <c r="AN91" s="54">
        <f t="shared" si="103"/>
        <v>126306000</v>
      </c>
      <c r="AO91" s="58">
        <f t="shared" si="104"/>
        <v>20628156.77</v>
      </c>
      <c r="AP91" s="54">
        <f t="shared" si="105"/>
        <v>105677843.23</v>
      </c>
    </row>
    <row r="92" spans="1:42" x14ac:dyDescent="0.2">
      <c r="A92" s="37" t="s">
        <v>89</v>
      </c>
      <c r="B92" s="40"/>
      <c r="C92" s="40"/>
      <c r="D92" s="40"/>
      <c r="E92" s="107">
        <v>800000</v>
      </c>
      <c r="F92" s="68">
        <f>VLOOKUP(A92,APR!$A$4:$K$99,11,0)</f>
        <v>0</v>
      </c>
      <c r="G92" s="107">
        <v>800000</v>
      </c>
      <c r="H92" s="68">
        <f t="shared" ref="H92:H98" si="109">E92-F92+G92</f>
        <v>1600000</v>
      </c>
      <c r="I92" s="68">
        <f>VLOOKUP(A92,MAY!$A$4:$K$99,11,0)</f>
        <v>15340</v>
      </c>
      <c r="J92" s="107">
        <v>800000</v>
      </c>
      <c r="K92" s="68">
        <f t="shared" ref="K92:K98" si="110">H92-I92+J92</f>
        <v>2384660</v>
      </c>
      <c r="L92" s="68">
        <f>VLOOKUP(A92,JUN!$A$4:$K$99,11,0)</f>
        <v>2203123.4</v>
      </c>
      <c r="M92" s="107">
        <v>800000</v>
      </c>
      <c r="N92" s="68">
        <f t="shared" ref="N92:N98" si="111">K92-L92+M92</f>
        <v>981536.60000000009</v>
      </c>
      <c r="O92" s="68">
        <f>VLOOKUP(A92,JUL!$A$4:$K$99,11,0)</f>
        <v>1212426</v>
      </c>
      <c r="P92" s="107">
        <v>1500000</v>
      </c>
      <c r="Q92" s="68">
        <f t="shared" ref="Q92:Q98" si="112">N92-O92+P92</f>
        <v>1269110.6000000001</v>
      </c>
      <c r="R92" s="107"/>
      <c r="S92" s="107">
        <v>800000</v>
      </c>
      <c r="T92" s="68">
        <f t="shared" ref="T92:T98" si="113">Q92-R92+S92</f>
        <v>2069110.6</v>
      </c>
      <c r="U92" s="107"/>
      <c r="V92" s="107">
        <v>1500000</v>
      </c>
      <c r="W92" s="68">
        <f t="shared" ref="W92:W98" si="114">T92-U92+V92</f>
        <v>3569110.6</v>
      </c>
      <c r="X92" s="107"/>
      <c r="Y92" s="107">
        <v>1500000</v>
      </c>
      <c r="Z92" s="68">
        <f t="shared" ref="Z92:Z98" si="115">W92-X92+Y92</f>
        <v>5069110.5999999996</v>
      </c>
      <c r="AA92" s="107"/>
      <c r="AB92" s="107">
        <v>1500000</v>
      </c>
      <c r="AC92" s="68">
        <f t="shared" ref="AC92:AC98" si="116">Z92-AA92+AB92</f>
        <v>6569110.5999999996</v>
      </c>
      <c r="AD92" s="107"/>
      <c r="AE92" s="107">
        <v>800000</v>
      </c>
      <c r="AF92" s="68">
        <f t="shared" ref="AF92:AF98" si="117">AC92-AD92+AE92</f>
        <v>7369110.5999999996</v>
      </c>
      <c r="AG92" s="107"/>
      <c r="AH92" s="107">
        <v>800000</v>
      </c>
      <c r="AI92" s="68">
        <f t="shared" ref="AI92:AI98" si="118">AF92-AG92+AH92</f>
        <v>8169110.5999999996</v>
      </c>
      <c r="AJ92" s="107"/>
      <c r="AK92" s="107">
        <v>800000</v>
      </c>
      <c r="AL92" s="68">
        <f t="shared" ref="AL92:AL98" si="119">AI92-AJ92+AK92</f>
        <v>8969110.5999999996</v>
      </c>
      <c r="AM92" s="108"/>
      <c r="AN92" s="109">
        <f t="shared" si="103"/>
        <v>12400000</v>
      </c>
      <c r="AO92" s="110">
        <f t="shared" si="104"/>
        <v>3430889.4</v>
      </c>
      <c r="AP92" s="109">
        <f t="shared" si="105"/>
        <v>8969110.5999999996</v>
      </c>
    </row>
    <row r="93" spans="1:42" x14ac:dyDescent="0.2">
      <c r="A93" s="37" t="s">
        <v>90</v>
      </c>
      <c r="B93" s="40"/>
      <c r="C93" s="40"/>
      <c r="D93" s="40"/>
      <c r="E93" s="107">
        <v>100000</v>
      </c>
      <c r="F93" s="68">
        <f>VLOOKUP(A93,APR!$A$4:$K$99,11,0)</f>
        <v>0</v>
      </c>
      <c r="G93" s="107">
        <v>100000</v>
      </c>
      <c r="H93" s="68">
        <f t="shared" si="109"/>
        <v>200000</v>
      </c>
      <c r="I93" s="68">
        <f>VLOOKUP(A93,MAY!$A$4:$K$99,11,0)</f>
        <v>13000</v>
      </c>
      <c r="J93" s="107">
        <v>100000</v>
      </c>
      <c r="K93" s="68">
        <f t="shared" si="110"/>
        <v>287000</v>
      </c>
      <c r="L93" s="68">
        <f>VLOOKUP(A93,JUN!$A$4:$K$99,11,0)</f>
        <v>53500</v>
      </c>
      <c r="M93" s="107">
        <v>100000</v>
      </c>
      <c r="N93" s="68">
        <f t="shared" si="111"/>
        <v>333500</v>
      </c>
      <c r="O93" s="68">
        <f>VLOOKUP(A93,JUL!$A$4:$K$99,11,0)</f>
        <v>34000</v>
      </c>
      <c r="P93" s="107">
        <v>50000</v>
      </c>
      <c r="Q93" s="68">
        <f t="shared" si="112"/>
        <v>349500</v>
      </c>
      <c r="R93" s="107"/>
      <c r="S93" s="107">
        <v>50000</v>
      </c>
      <c r="T93" s="68">
        <f t="shared" si="113"/>
        <v>399500</v>
      </c>
      <c r="U93" s="107"/>
      <c r="V93" s="107">
        <v>50000</v>
      </c>
      <c r="W93" s="68">
        <f t="shared" si="114"/>
        <v>449500</v>
      </c>
      <c r="X93" s="107"/>
      <c r="Y93" s="107">
        <v>50000</v>
      </c>
      <c r="Z93" s="68">
        <f t="shared" si="115"/>
        <v>499500</v>
      </c>
      <c r="AA93" s="107"/>
      <c r="AB93" s="107">
        <v>50000</v>
      </c>
      <c r="AC93" s="68">
        <f t="shared" si="116"/>
        <v>549500</v>
      </c>
      <c r="AD93" s="107"/>
      <c r="AE93" s="107">
        <v>50000</v>
      </c>
      <c r="AF93" s="68">
        <f t="shared" si="117"/>
        <v>599500</v>
      </c>
      <c r="AG93" s="107"/>
      <c r="AH93" s="107">
        <v>50000</v>
      </c>
      <c r="AI93" s="68">
        <f t="shared" si="118"/>
        <v>649500</v>
      </c>
      <c r="AJ93" s="107"/>
      <c r="AK93" s="107">
        <v>50000</v>
      </c>
      <c r="AL93" s="68">
        <f t="shared" si="119"/>
        <v>699500</v>
      </c>
      <c r="AM93" s="108"/>
      <c r="AN93" s="109">
        <f t="shared" si="103"/>
        <v>800000</v>
      </c>
      <c r="AO93" s="110">
        <f t="shared" si="104"/>
        <v>100500</v>
      </c>
      <c r="AP93" s="109">
        <f t="shared" si="105"/>
        <v>699500</v>
      </c>
    </row>
    <row r="94" spans="1:42" x14ac:dyDescent="0.2">
      <c r="A94" s="37" t="s">
        <v>91</v>
      </c>
      <c r="B94" s="40"/>
      <c r="C94" s="40"/>
      <c r="D94" s="40"/>
      <c r="E94" s="107">
        <v>1500000</v>
      </c>
      <c r="F94" s="68">
        <f>VLOOKUP(A94,APR!$A$4:$K$99,11,0)</f>
        <v>0</v>
      </c>
      <c r="G94" s="107">
        <v>1500000</v>
      </c>
      <c r="H94" s="68">
        <f t="shared" si="109"/>
        <v>3000000</v>
      </c>
      <c r="I94" s="68">
        <f>VLOOKUP(A94,MAY!$A$4:$K$99,11,0)</f>
        <v>5916750</v>
      </c>
      <c r="J94" s="107">
        <v>1500000</v>
      </c>
      <c r="K94" s="68">
        <f t="shared" si="110"/>
        <v>-1416750</v>
      </c>
      <c r="L94" s="68">
        <f>VLOOKUP(A94,JUN!$A$4:$K$99,11,0)</f>
        <v>4723681.87</v>
      </c>
      <c r="M94" s="107">
        <v>1500000</v>
      </c>
      <c r="N94" s="68">
        <f t="shared" si="111"/>
        <v>-4640431.87</v>
      </c>
      <c r="O94" s="68">
        <f>VLOOKUP(A94,JUL!$A$4:$K$99,11,0)</f>
        <v>1215900</v>
      </c>
      <c r="P94" s="107">
        <v>2000000</v>
      </c>
      <c r="Q94" s="68">
        <f t="shared" si="112"/>
        <v>-3856331.87</v>
      </c>
      <c r="R94" s="107"/>
      <c r="S94" s="107">
        <v>2000000</v>
      </c>
      <c r="T94" s="68">
        <f t="shared" si="113"/>
        <v>-1856331.87</v>
      </c>
      <c r="U94" s="107"/>
      <c r="V94" s="107">
        <v>2000000</v>
      </c>
      <c r="W94" s="68">
        <f t="shared" si="114"/>
        <v>143668.12999999989</v>
      </c>
      <c r="X94" s="107"/>
      <c r="Y94" s="107">
        <v>2000000</v>
      </c>
      <c r="Z94" s="68">
        <f t="shared" si="115"/>
        <v>2143668.13</v>
      </c>
      <c r="AA94" s="107"/>
      <c r="AB94" s="107">
        <v>2000000</v>
      </c>
      <c r="AC94" s="68">
        <f t="shared" si="116"/>
        <v>4143668.13</v>
      </c>
      <c r="AD94" s="107"/>
      <c r="AE94" s="107">
        <v>1500000</v>
      </c>
      <c r="AF94" s="68">
        <f t="shared" si="117"/>
        <v>5643668.1299999999</v>
      </c>
      <c r="AG94" s="107"/>
      <c r="AH94" s="107">
        <v>1500000</v>
      </c>
      <c r="AI94" s="68">
        <f t="shared" si="118"/>
        <v>7143668.1299999999</v>
      </c>
      <c r="AJ94" s="107"/>
      <c r="AK94" s="107">
        <v>1500000</v>
      </c>
      <c r="AL94" s="68">
        <f t="shared" si="119"/>
        <v>8643668.129999999</v>
      </c>
      <c r="AM94" s="108"/>
      <c r="AN94" s="109">
        <f t="shared" si="103"/>
        <v>20500000</v>
      </c>
      <c r="AO94" s="110">
        <f t="shared" si="104"/>
        <v>11856331.870000001</v>
      </c>
      <c r="AP94" s="109">
        <f t="shared" si="105"/>
        <v>8643668.129999999</v>
      </c>
    </row>
    <row r="95" spans="1:42" x14ac:dyDescent="0.2">
      <c r="A95" s="42" t="s">
        <v>92</v>
      </c>
      <c r="B95" s="44"/>
      <c r="C95" s="44"/>
      <c r="D95" s="44"/>
      <c r="E95" s="107">
        <v>1000000</v>
      </c>
      <c r="F95" s="68">
        <f>VLOOKUP(A95,APR!$A$4:$K$99,11,0)</f>
        <v>0</v>
      </c>
      <c r="G95" s="107">
        <v>1000000</v>
      </c>
      <c r="H95" s="68">
        <f t="shared" si="109"/>
        <v>2000000</v>
      </c>
      <c r="I95" s="68">
        <f>VLOOKUP(A95,MAY!$A$4:$K$99,11,0)</f>
        <v>0</v>
      </c>
      <c r="J95" s="107">
        <v>1000000</v>
      </c>
      <c r="K95" s="68">
        <f t="shared" si="110"/>
        <v>3000000</v>
      </c>
      <c r="L95" s="68">
        <f>VLOOKUP(A95,JUN!$A$4:$K$99,11,0)</f>
        <v>0</v>
      </c>
      <c r="M95" s="107">
        <v>1000000</v>
      </c>
      <c r="N95" s="68">
        <f t="shared" si="111"/>
        <v>4000000</v>
      </c>
      <c r="O95" s="68">
        <f>VLOOKUP(A95,JUL!$A$4:$K$99,11,0)</f>
        <v>0</v>
      </c>
      <c r="P95" s="107">
        <v>1000000</v>
      </c>
      <c r="Q95" s="68">
        <f t="shared" si="112"/>
        <v>5000000</v>
      </c>
      <c r="R95" s="107"/>
      <c r="S95" s="107">
        <v>1000000</v>
      </c>
      <c r="T95" s="68">
        <f t="shared" si="113"/>
        <v>6000000</v>
      </c>
      <c r="U95" s="107"/>
      <c r="V95" s="107">
        <v>1000000</v>
      </c>
      <c r="W95" s="68">
        <f t="shared" si="114"/>
        <v>7000000</v>
      </c>
      <c r="X95" s="107"/>
      <c r="Y95" s="107">
        <v>1000000</v>
      </c>
      <c r="Z95" s="68">
        <f t="shared" si="115"/>
        <v>8000000</v>
      </c>
      <c r="AA95" s="107"/>
      <c r="AB95" s="107">
        <v>1000000</v>
      </c>
      <c r="AC95" s="68">
        <f t="shared" si="116"/>
        <v>9000000</v>
      </c>
      <c r="AD95" s="107"/>
      <c r="AE95" s="107">
        <v>1000000</v>
      </c>
      <c r="AF95" s="68">
        <f t="shared" si="117"/>
        <v>10000000</v>
      </c>
      <c r="AG95" s="107"/>
      <c r="AH95" s="107">
        <v>1000000</v>
      </c>
      <c r="AI95" s="68">
        <f t="shared" si="118"/>
        <v>11000000</v>
      </c>
      <c r="AJ95" s="107"/>
      <c r="AK95" s="107">
        <v>1000000</v>
      </c>
      <c r="AL95" s="68">
        <f t="shared" si="119"/>
        <v>12000000</v>
      </c>
      <c r="AM95" s="108"/>
      <c r="AN95" s="109">
        <f t="shared" si="103"/>
        <v>12000000</v>
      </c>
      <c r="AO95" s="110">
        <f t="shared" si="104"/>
        <v>0</v>
      </c>
      <c r="AP95" s="109">
        <f t="shared" si="105"/>
        <v>12000000</v>
      </c>
    </row>
    <row r="96" spans="1:42" x14ac:dyDescent="0.2">
      <c r="A96" s="42" t="s">
        <v>93</v>
      </c>
      <c r="B96" s="44"/>
      <c r="C96" s="44"/>
      <c r="D96" s="44"/>
      <c r="E96" s="107">
        <v>500000</v>
      </c>
      <c r="F96" s="68">
        <f>VLOOKUP(A96,APR!$A$4:$K$99,11,0)</f>
        <v>0</v>
      </c>
      <c r="G96" s="107">
        <v>1000000</v>
      </c>
      <c r="H96" s="68">
        <f t="shared" si="109"/>
        <v>1500000</v>
      </c>
      <c r="I96" s="68">
        <f>VLOOKUP(A96,MAY!$A$4:$K$99,11,0)</f>
        <v>9440</v>
      </c>
      <c r="J96" s="107">
        <v>1000000</v>
      </c>
      <c r="K96" s="68">
        <f t="shared" si="110"/>
        <v>2490560</v>
      </c>
      <c r="L96" s="68">
        <f>VLOOKUP(A96,JUN!$A$4:$K$99,11,0)</f>
        <v>0</v>
      </c>
      <c r="M96" s="107">
        <v>1000000</v>
      </c>
      <c r="N96" s="68">
        <f t="shared" si="111"/>
        <v>3490560</v>
      </c>
      <c r="O96" s="68">
        <f>VLOOKUP(A96,JUL!$A$4:$K$99,11,0)</f>
        <v>0</v>
      </c>
      <c r="P96" s="107">
        <v>1000000</v>
      </c>
      <c r="Q96" s="68">
        <f t="shared" si="112"/>
        <v>4490560</v>
      </c>
      <c r="R96" s="107"/>
      <c r="S96" s="107">
        <v>1000000</v>
      </c>
      <c r="T96" s="68">
        <f t="shared" si="113"/>
        <v>5490560</v>
      </c>
      <c r="U96" s="107"/>
      <c r="V96" s="107">
        <v>1000000</v>
      </c>
      <c r="W96" s="68">
        <f t="shared" si="114"/>
        <v>6490560</v>
      </c>
      <c r="X96" s="107"/>
      <c r="Y96" s="107">
        <v>1000000</v>
      </c>
      <c r="Z96" s="68">
        <f t="shared" si="115"/>
        <v>7490560</v>
      </c>
      <c r="AA96" s="107"/>
      <c r="AB96" s="107">
        <v>1000000</v>
      </c>
      <c r="AC96" s="68">
        <f t="shared" si="116"/>
        <v>8490560</v>
      </c>
      <c r="AD96" s="107"/>
      <c r="AE96" s="107">
        <v>1000000</v>
      </c>
      <c r="AF96" s="68">
        <f t="shared" si="117"/>
        <v>9490560</v>
      </c>
      <c r="AG96" s="107"/>
      <c r="AH96" s="107">
        <v>1000000</v>
      </c>
      <c r="AI96" s="68">
        <f t="shared" si="118"/>
        <v>10490560</v>
      </c>
      <c r="AJ96" s="107"/>
      <c r="AK96" s="107">
        <v>1000000</v>
      </c>
      <c r="AL96" s="68">
        <f t="shared" si="119"/>
        <v>11490560</v>
      </c>
      <c r="AM96" s="108"/>
      <c r="AN96" s="109">
        <f t="shared" si="103"/>
        <v>11500000</v>
      </c>
      <c r="AO96" s="110">
        <f t="shared" si="104"/>
        <v>9440</v>
      </c>
      <c r="AP96" s="109">
        <f t="shared" si="105"/>
        <v>11490560</v>
      </c>
    </row>
    <row r="97" spans="1:43" x14ac:dyDescent="0.2">
      <c r="A97" s="42" t="s">
        <v>94</v>
      </c>
      <c r="B97" s="44"/>
      <c r="C97" s="44"/>
      <c r="D97" s="44"/>
      <c r="E97" s="100">
        <f>2000000+1106000</f>
        <v>3106000</v>
      </c>
      <c r="F97" s="68">
        <f>VLOOKUP(A97,APR!$A$4:$K$99,11,0)</f>
        <v>0</v>
      </c>
      <c r="G97" s="100">
        <v>2000000</v>
      </c>
      <c r="H97" s="68">
        <f t="shared" si="109"/>
        <v>5106000</v>
      </c>
      <c r="I97" s="68">
        <f>VLOOKUP(A97,MAY!$A$4:$K$99,11,0)</f>
        <v>153673.66999999998</v>
      </c>
      <c r="J97" s="100">
        <v>2000000</v>
      </c>
      <c r="K97" s="68">
        <f t="shared" si="110"/>
        <v>6952326.3300000001</v>
      </c>
      <c r="L97" s="68">
        <f>VLOOKUP(A97,JUN!$A$4:$K$99,11,0)</f>
        <v>4236222.67</v>
      </c>
      <c r="M97" s="100">
        <v>2000000</v>
      </c>
      <c r="N97" s="68">
        <f t="shared" si="111"/>
        <v>4716103.66</v>
      </c>
      <c r="O97" s="68">
        <f>VLOOKUP(A97,JUL!$A$4:$K$99,11,0)</f>
        <v>841099.15999999992</v>
      </c>
      <c r="P97" s="100">
        <v>2000000</v>
      </c>
      <c r="Q97" s="68">
        <f t="shared" si="112"/>
        <v>5875004.5</v>
      </c>
      <c r="R97" s="100"/>
      <c r="S97" s="100">
        <v>2000000</v>
      </c>
      <c r="T97" s="68">
        <f t="shared" si="113"/>
        <v>7875004.5</v>
      </c>
      <c r="U97" s="100"/>
      <c r="V97" s="100">
        <v>2000000</v>
      </c>
      <c r="W97" s="68">
        <f t="shared" si="114"/>
        <v>9875004.5</v>
      </c>
      <c r="X97" s="100"/>
      <c r="Y97" s="100">
        <v>2000000</v>
      </c>
      <c r="Z97" s="68">
        <f t="shared" si="115"/>
        <v>11875004.5</v>
      </c>
      <c r="AA97" s="100"/>
      <c r="AB97" s="100">
        <v>2000000</v>
      </c>
      <c r="AC97" s="68">
        <f t="shared" si="116"/>
        <v>13875004.5</v>
      </c>
      <c r="AD97" s="100"/>
      <c r="AE97" s="100">
        <v>2000000</v>
      </c>
      <c r="AF97" s="68">
        <f t="shared" si="117"/>
        <v>15875004.5</v>
      </c>
      <c r="AG97" s="100"/>
      <c r="AH97" s="100">
        <v>2000000</v>
      </c>
      <c r="AI97" s="68">
        <f t="shared" si="118"/>
        <v>17875004.5</v>
      </c>
      <c r="AJ97" s="100"/>
      <c r="AK97" s="100">
        <v>2000000</v>
      </c>
      <c r="AL97" s="68">
        <f t="shared" si="119"/>
        <v>19875004.5</v>
      </c>
      <c r="AM97" s="101"/>
      <c r="AN97" s="102">
        <f t="shared" si="103"/>
        <v>25106000</v>
      </c>
      <c r="AO97" s="103">
        <f t="shared" si="104"/>
        <v>5230995.5</v>
      </c>
      <c r="AP97" s="102">
        <f t="shared" si="105"/>
        <v>19875004.5</v>
      </c>
    </row>
    <row r="98" spans="1:43" ht="17" thickBot="1" x14ac:dyDescent="0.25">
      <c r="A98" s="59" t="s">
        <v>95</v>
      </c>
      <c r="B98" s="60"/>
      <c r="C98" s="60"/>
      <c r="D98" s="60"/>
      <c r="E98" s="111">
        <v>5000000</v>
      </c>
      <c r="F98" s="68">
        <f>VLOOKUP(A98,APR!$A$4:$K$99,11,0)</f>
        <v>0</v>
      </c>
      <c r="G98" s="111">
        <v>5000000</v>
      </c>
      <c r="H98" s="112">
        <f t="shared" si="109"/>
        <v>10000000</v>
      </c>
      <c r="I98" s="68">
        <f>VLOOKUP(A98,MAY!$A$4:$K$99,11,0)</f>
        <v>0</v>
      </c>
      <c r="J98" s="111">
        <v>5000000</v>
      </c>
      <c r="K98" s="112">
        <f t="shared" si="110"/>
        <v>15000000</v>
      </c>
      <c r="L98" s="68">
        <f>VLOOKUP(A98,JUN!$A$4:$K$99,11,0)</f>
        <v>0</v>
      </c>
      <c r="M98" s="111">
        <v>5000000</v>
      </c>
      <c r="N98" s="112">
        <f t="shared" si="111"/>
        <v>20000000</v>
      </c>
      <c r="O98" s="68">
        <f>VLOOKUP(A98,JUL!$A$4:$K$99,11,0)</f>
        <v>0</v>
      </c>
      <c r="P98" s="111">
        <v>3000000</v>
      </c>
      <c r="Q98" s="112">
        <f t="shared" si="112"/>
        <v>23000000</v>
      </c>
      <c r="R98" s="111"/>
      <c r="S98" s="111">
        <v>3000000</v>
      </c>
      <c r="T98" s="112">
        <f t="shared" si="113"/>
        <v>26000000</v>
      </c>
      <c r="U98" s="111"/>
      <c r="V98" s="111">
        <v>3000000</v>
      </c>
      <c r="W98" s="112">
        <f t="shared" si="114"/>
        <v>29000000</v>
      </c>
      <c r="X98" s="111"/>
      <c r="Y98" s="111">
        <v>3000000</v>
      </c>
      <c r="Z98" s="112">
        <f t="shared" si="115"/>
        <v>32000000</v>
      </c>
      <c r="AA98" s="111"/>
      <c r="AB98" s="111">
        <v>3000000</v>
      </c>
      <c r="AC98" s="112">
        <f t="shared" si="116"/>
        <v>35000000</v>
      </c>
      <c r="AD98" s="111"/>
      <c r="AE98" s="111">
        <v>3000000</v>
      </c>
      <c r="AF98" s="112">
        <f t="shared" si="117"/>
        <v>38000000</v>
      </c>
      <c r="AG98" s="111"/>
      <c r="AH98" s="111">
        <v>3000000</v>
      </c>
      <c r="AI98" s="112">
        <f t="shared" si="118"/>
        <v>41000000</v>
      </c>
      <c r="AJ98" s="111"/>
      <c r="AK98" s="111">
        <v>3000000</v>
      </c>
      <c r="AL98" s="112">
        <f t="shared" si="119"/>
        <v>44000000</v>
      </c>
      <c r="AM98" s="113"/>
      <c r="AN98" s="114">
        <f t="shared" si="103"/>
        <v>44000000</v>
      </c>
      <c r="AO98" s="115">
        <f t="shared" si="104"/>
        <v>0</v>
      </c>
      <c r="AP98" s="114">
        <f t="shared" si="105"/>
        <v>44000000</v>
      </c>
    </row>
    <row r="99" spans="1:43" ht="14.25" customHeight="1" thickBot="1" x14ac:dyDescent="0.25">
      <c r="A99" s="63" t="s">
        <v>96</v>
      </c>
      <c r="B99" s="64"/>
      <c r="C99" s="64"/>
      <c r="D99" s="64"/>
      <c r="E99" s="65">
        <f>SUM(E4+E8+E15+E17+E27+E34+E39+E41+E50+E55+E68+E43+E86+E88+E91)</f>
        <v>69255637.5</v>
      </c>
      <c r="F99" s="65">
        <f t="shared" ref="F99:AP99" si="120">SUM(F4+F8+F15+F17+F27+F34+F39+F41+F50+F55+F68+F43+F86+F88+F91)</f>
        <v>5724057</v>
      </c>
      <c r="G99" s="65">
        <f t="shared" si="120"/>
        <v>48560000</v>
      </c>
      <c r="H99" s="65">
        <f t="shared" si="120"/>
        <v>112091580.5</v>
      </c>
      <c r="I99" s="65">
        <f t="shared" si="120"/>
        <v>60985408.170000002</v>
      </c>
      <c r="J99" s="65">
        <f t="shared" si="120"/>
        <v>46610000</v>
      </c>
      <c r="K99" s="65">
        <f t="shared" si="120"/>
        <v>97716172.329999998</v>
      </c>
      <c r="L99" s="65">
        <f t="shared" si="120"/>
        <v>23983206.119999997</v>
      </c>
      <c r="M99" s="65">
        <f t="shared" si="120"/>
        <v>69152800</v>
      </c>
      <c r="N99" s="65">
        <f t="shared" si="120"/>
        <v>142885766.21000004</v>
      </c>
      <c r="O99" s="65">
        <f t="shared" si="120"/>
        <v>22767832.949999999</v>
      </c>
      <c r="P99" s="65">
        <f t="shared" si="120"/>
        <v>61160000</v>
      </c>
      <c r="Q99" s="65">
        <f t="shared" si="120"/>
        <v>181277933.25999999</v>
      </c>
      <c r="R99" s="65">
        <f t="shared" si="120"/>
        <v>0</v>
      </c>
      <c r="S99" s="65">
        <f t="shared" si="120"/>
        <v>80618000</v>
      </c>
      <c r="T99" s="65">
        <f t="shared" si="120"/>
        <v>261895933.25999999</v>
      </c>
      <c r="U99" s="65">
        <f t="shared" si="120"/>
        <v>0</v>
      </c>
      <c r="V99" s="65">
        <f t="shared" si="120"/>
        <v>17660000</v>
      </c>
      <c r="W99" s="65">
        <f t="shared" si="120"/>
        <v>279555933.25999999</v>
      </c>
      <c r="X99" s="65">
        <f t="shared" si="120"/>
        <v>0</v>
      </c>
      <c r="Y99" s="65">
        <f t="shared" si="120"/>
        <v>44510000</v>
      </c>
      <c r="Z99" s="65">
        <f t="shared" si="120"/>
        <v>324065933.25999999</v>
      </c>
      <c r="AA99" s="65">
        <f t="shared" si="120"/>
        <v>0</v>
      </c>
      <c r="AB99" s="65">
        <f t="shared" si="120"/>
        <v>20710000</v>
      </c>
      <c r="AC99" s="65">
        <f t="shared" si="120"/>
        <v>344775933.25999999</v>
      </c>
      <c r="AD99" s="65">
        <f t="shared" si="120"/>
        <v>0</v>
      </c>
      <c r="AE99" s="65">
        <f t="shared" si="120"/>
        <v>16460000</v>
      </c>
      <c r="AF99" s="65">
        <f t="shared" si="120"/>
        <v>361235933.25999999</v>
      </c>
      <c r="AG99" s="65">
        <f t="shared" si="120"/>
        <v>0</v>
      </c>
      <c r="AH99" s="65">
        <f t="shared" si="120"/>
        <v>24510000</v>
      </c>
      <c r="AI99" s="65">
        <f t="shared" si="120"/>
        <v>385745933.25999999</v>
      </c>
      <c r="AJ99" s="65">
        <f t="shared" si="120"/>
        <v>0</v>
      </c>
      <c r="AK99" s="65">
        <f t="shared" si="120"/>
        <v>15010000</v>
      </c>
      <c r="AL99" s="65">
        <f t="shared" si="120"/>
        <v>400755933.25999999</v>
      </c>
      <c r="AM99" s="66">
        <f t="shared" si="120"/>
        <v>0</v>
      </c>
      <c r="AN99" s="3">
        <f t="shared" si="120"/>
        <v>514216437.5</v>
      </c>
      <c r="AO99" s="3">
        <f t="shared" si="120"/>
        <v>113460504.23999999</v>
      </c>
      <c r="AP99" s="3">
        <f t="shared" si="120"/>
        <v>400755933.25999999</v>
      </c>
    </row>
    <row r="100" spans="1:43" x14ac:dyDescent="0.2">
      <c r="A100" s="61"/>
      <c r="B100" s="61"/>
      <c r="C100" s="61"/>
      <c r="D100" s="61"/>
      <c r="E100" s="62"/>
      <c r="F100" s="62"/>
      <c r="G100" s="62"/>
      <c r="H100" s="62"/>
      <c r="I100" s="62"/>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row>
    <row r="101" spans="1:43" s="4" customFormat="1" x14ac:dyDescent="0.2">
      <c r="A101" s="46" t="s">
        <v>97</v>
      </c>
      <c r="B101" s="47"/>
      <c r="C101" s="47"/>
      <c r="D101" s="47"/>
      <c r="E101" s="168">
        <f>E99/10000000</f>
        <v>6.9255637500000002</v>
      </c>
      <c r="F101" s="168">
        <f>F99/10000000</f>
        <v>0.57240570000000002</v>
      </c>
      <c r="G101" s="168">
        <f t="shared" ref="G101:AN101" si="121">G99/10000000</f>
        <v>4.8559999999999999</v>
      </c>
      <c r="H101" s="168">
        <f t="shared" si="121"/>
        <v>11.209158049999999</v>
      </c>
      <c r="I101" s="168">
        <f t="shared" si="121"/>
        <v>6.0985408169999999</v>
      </c>
      <c r="J101" s="168">
        <f t="shared" si="121"/>
        <v>4.6609999999999996</v>
      </c>
      <c r="K101" s="168">
        <f t="shared" si="121"/>
        <v>9.7716172330000006</v>
      </c>
      <c r="L101" s="168">
        <f t="shared" si="121"/>
        <v>2.3983206119999996</v>
      </c>
      <c r="M101" s="168">
        <f t="shared" si="121"/>
        <v>6.9152800000000001</v>
      </c>
      <c r="N101" s="168">
        <f t="shared" si="121"/>
        <v>14.288576621000004</v>
      </c>
      <c r="O101" s="168">
        <f t="shared" si="121"/>
        <v>2.276783295</v>
      </c>
      <c r="P101" s="168">
        <f t="shared" si="121"/>
        <v>6.1159999999999997</v>
      </c>
      <c r="Q101" s="168">
        <f t="shared" si="121"/>
        <v>18.127793325999999</v>
      </c>
      <c r="R101" s="168">
        <f t="shared" si="121"/>
        <v>0</v>
      </c>
      <c r="S101" s="168">
        <f t="shared" si="121"/>
        <v>8.0617999999999999</v>
      </c>
      <c r="T101" s="168">
        <f t="shared" si="121"/>
        <v>26.189593326000001</v>
      </c>
      <c r="U101" s="168">
        <f t="shared" si="121"/>
        <v>0</v>
      </c>
      <c r="V101" s="168">
        <f t="shared" si="121"/>
        <v>1.766</v>
      </c>
      <c r="W101" s="168">
        <f t="shared" si="121"/>
        <v>27.955593325999999</v>
      </c>
      <c r="X101" s="168">
        <f t="shared" si="121"/>
        <v>0</v>
      </c>
      <c r="Y101" s="168">
        <f t="shared" si="121"/>
        <v>4.4509999999999996</v>
      </c>
      <c r="Z101" s="168">
        <f t="shared" si="121"/>
        <v>32.406593325999999</v>
      </c>
      <c r="AA101" s="168">
        <f t="shared" si="121"/>
        <v>0</v>
      </c>
      <c r="AB101" s="168">
        <f t="shared" si="121"/>
        <v>2.0710000000000002</v>
      </c>
      <c r="AC101" s="168">
        <f t="shared" si="121"/>
        <v>34.477593325999997</v>
      </c>
      <c r="AD101" s="168">
        <f t="shared" si="121"/>
        <v>0</v>
      </c>
      <c r="AE101" s="168">
        <f t="shared" si="121"/>
        <v>1.6459999999999999</v>
      </c>
      <c r="AF101" s="168">
        <f t="shared" si="121"/>
        <v>36.123593325999998</v>
      </c>
      <c r="AG101" s="168">
        <f t="shared" si="121"/>
        <v>0</v>
      </c>
      <c r="AH101" s="168">
        <f t="shared" si="121"/>
        <v>2.4510000000000001</v>
      </c>
      <c r="AI101" s="168">
        <f t="shared" si="121"/>
        <v>38.574593325999999</v>
      </c>
      <c r="AJ101" s="168">
        <f t="shared" si="121"/>
        <v>0</v>
      </c>
      <c r="AK101" s="168">
        <f t="shared" si="121"/>
        <v>1.5009999999999999</v>
      </c>
      <c r="AL101" s="168">
        <f t="shared" si="121"/>
        <v>40.075593325999996</v>
      </c>
      <c r="AM101" s="168">
        <f t="shared" si="121"/>
        <v>0</v>
      </c>
      <c r="AN101" s="168">
        <f t="shared" si="121"/>
        <v>51.421643750000001</v>
      </c>
      <c r="AO101" s="168"/>
      <c r="AP101" s="168"/>
    </row>
    <row r="102" spans="1:43" x14ac:dyDescent="0.2">
      <c r="A102" s="117" t="s">
        <v>98</v>
      </c>
      <c r="B102" s="117"/>
      <c r="C102" s="117"/>
      <c r="D102" s="117"/>
      <c r="E102" s="118">
        <v>282</v>
      </c>
      <c r="F102" s="118"/>
      <c r="G102" s="118">
        <v>39</v>
      </c>
      <c r="H102" s="118"/>
      <c r="I102" s="118"/>
      <c r="J102" s="118">
        <v>39</v>
      </c>
      <c r="K102" s="118"/>
      <c r="L102" s="118"/>
      <c r="M102" s="118">
        <v>155</v>
      </c>
      <c r="N102" s="118"/>
      <c r="O102" s="118"/>
      <c r="P102" s="118">
        <v>76</v>
      </c>
      <c r="Q102" s="118"/>
      <c r="R102" s="118"/>
      <c r="S102" s="118">
        <v>61</v>
      </c>
      <c r="T102" s="118"/>
      <c r="U102" s="118"/>
      <c r="V102" s="119">
        <v>70</v>
      </c>
      <c r="W102" s="119"/>
      <c r="X102" s="119"/>
      <c r="Y102" s="119">
        <v>70</v>
      </c>
      <c r="Z102" s="119"/>
      <c r="AA102" s="119"/>
      <c r="AB102" s="119">
        <v>57</v>
      </c>
      <c r="AC102" s="119"/>
      <c r="AD102" s="119"/>
      <c r="AE102" s="119">
        <v>24</v>
      </c>
      <c r="AF102" s="119"/>
      <c r="AG102" s="119"/>
      <c r="AH102" s="119">
        <v>21</v>
      </c>
      <c r="AI102" s="119"/>
      <c r="AJ102" s="119"/>
      <c r="AK102" s="119">
        <v>19</v>
      </c>
      <c r="AL102" s="119"/>
      <c r="AM102" s="119"/>
      <c r="AN102" s="119">
        <f>SUM(E102:AK102)</f>
        <v>913</v>
      </c>
      <c r="AO102" s="119">
        <v>1484800</v>
      </c>
      <c r="AP102" s="119"/>
    </row>
    <row r="103" spans="1:43" x14ac:dyDescent="0.2">
      <c r="A103" s="117" t="s">
        <v>99</v>
      </c>
      <c r="B103" s="117"/>
      <c r="C103" s="117"/>
      <c r="D103" s="117"/>
      <c r="E103" s="118">
        <v>1024</v>
      </c>
      <c r="F103" s="118"/>
      <c r="G103" s="118">
        <v>135</v>
      </c>
      <c r="H103" s="118"/>
      <c r="I103" s="118"/>
      <c r="J103" s="118">
        <v>135</v>
      </c>
      <c r="K103" s="118"/>
      <c r="L103" s="118"/>
      <c r="M103" s="118">
        <v>373</v>
      </c>
      <c r="N103" s="118"/>
      <c r="O103" s="118"/>
      <c r="P103" s="118">
        <v>195</v>
      </c>
      <c r="Q103" s="118"/>
      <c r="R103" s="118"/>
      <c r="S103" s="118">
        <v>156</v>
      </c>
      <c r="T103" s="118"/>
      <c r="U103" s="118"/>
      <c r="V103" s="119">
        <v>177</v>
      </c>
      <c r="W103" s="119"/>
      <c r="X103" s="119"/>
      <c r="Y103" s="119">
        <v>176</v>
      </c>
      <c r="Z103" s="119"/>
      <c r="AA103" s="119"/>
      <c r="AB103" s="119">
        <v>135</v>
      </c>
      <c r="AC103" s="119"/>
      <c r="AD103" s="119"/>
      <c r="AE103" s="119">
        <v>81</v>
      </c>
      <c r="AF103" s="119"/>
      <c r="AG103" s="119"/>
      <c r="AH103" s="119">
        <v>74</v>
      </c>
      <c r="AI103" s="119"/>
      <c r="AJ103" s="119"/>
      <c r="AK103" s="119">
        <v>60</v>
      </c>
      <c r="AL103" s="119"/>
      <c r="AM103" s="119"/>
      <c r="AN103" s="119">
        <f>SUM(E103:AK103)</f>
        <v>2721</v>
      </c>
      <c r="AO103" s="119"/>
      <c r="AP103" s="119"/>
    </row>
    <row r="104" spans="1:43" x14ac:dyDescent="0.2">
      <c r="A104" s="117" t="s">
        <v>100</v>
      </c>
      <c r="B104" s="117"/>
      <c r="C104" s="117"/>
      <c r="D104" s="117"/>
      <c r="E104" s="120">
        <f>+E99/E102</f>
        <v>245587.36702127659</v>
      </c>
      <c r="F104" s="120"/>
      <c r="G104" s="120">
        <f t="shared" ref="G104:AK104" si="122">+G99/G102</f>
        <v>1245128.2051282052</v>
      </c>
      <c r="H104" s="120"/>
      <c r="I104" s="120"/>
      <c r="J104" s="120">
        <f t="shared" si="122"/>
        <v>1195128.2051282052</v>
      </c>
      <c r="K104" s="120"/>
      <c r="L104" s="120"/>
      <c r="M104" s="120">
        <f t="shared" si="122"/>
        <v>446147.09677419357</v>
      </c>
      <c r="N104" s="120"/>
      <c r="O104" s="120"/>
      <c r="P104" s="120">
        <f t="shared" si="122"/>
        <v>804736.84210526315</v>
      </c>
      <c r="Q104" s="120"/>
      <c r="R104" s="120"/>
      <c r="S104" s="120">
        <f t="shared" si="122"/>
        <v>1321606.5573770492</v>
      </c>
      <c r="T104" s="120"/>
      <c r="U104" s="120"/>
      <c r="V104" s="120">
        <f t="shared" si="122"/>
        <v>252285.71428571429</v>
      </c>
      <c r="W104" s="120"/>
      <c r="X104" s="120"/>
      <c r="Y104" s="120">
        <f t="shared" si="122"/>
        <v>635857.14285714284</v>
      </c>
      <c r="Z104" s="120"/>
      <c r="AA104" s="120"/>
      <c r="AB104" s="120">
        <f t="shared" si="122"/>
        <v>363333.33333333331</v>
      </c>
      <c r="AC104" s="120"/>
      <c r="AD104" s="120"/>
      <c r="AE104" s="120">
        <f t="shared" si="122"/>
        <v>685833.33333333337</v>
      </c>
      <c r="AF104" s="120"/>
      <c r="AG104" s="120"/>
      <c r="AH104" s="120">
        <f t="shared" si="122"/>
        <v>1167142.857142857</v>
      </c>
      <c r="AI104" s="120"/>
      <c r="AJ104" s="120"/>
      <c r="AK104" s="120">
        <f t="shared" si="122"/>
        <v>790000</v>
      </c>
      <c r="AL104" s="120"/>
      <c r="AM104" s="120"/>
      <c r="AN104" s="120"/>
      <c r="AO104" s="120"/>
      <c r="AP104" s="120">
        <v>1106000</v>
      </c>
    </row>
    <row r="105" spans="1:43" x14ac:dyDescent="0.2">
      <c r="A105" s="117" t="s">
        <v>101</v>
      </c>
      <c r="B105" s="117"/>
      <c r="C105" s="117"/>
      <c r="D105" s="117"/>
      <c r="E105" s="48">
        <f>+E101/E103</f>
        <v>6.7632458496093752E-3</v>
      </c>
      <c r="F105" s="48"/>
      <c r="G105" s="48">
        <f t="shared" ref="G105:AK105" si="123">+G101/G103</f>
        <v>3.5970370370370368E-2</v>
      </c>
      <c r="H105" s="48"/>
      <c r="I105" s="48"/>
      <c r="J105" s="48">
        <f t="shared" si="123"/>
        <v>3.4525925925925925E-2</v>
      </c>
      <c r="K105" s="48"/>
      <c r="L105" s="48"/>
      <c r="M105" s="48">
        <f t="shared" si="123"/>
        <v>1.8539624664879358E-2</v>
      </c>
      <c r="N105" s="48"/>
      <c r="O105" s="48"/>
      <c r="P105" s="48">
        <f t="shared" si="123"/>
        <v>3.1364102564102561E-2</v>
      </c>
      <c r="Q105" s="48"/>
      <c r="R105" s="48"/>
      <c r="S105" s="48">
        <f t="shared" si="123"/>
        <v>5.1678205128205125E-2</v>
      </c>
      <c r="T105" s="48"/>
      <c r="U105" s="48"/>
      <c r="V105" s="48">
        <f t="shared" si="123"/>
        <v>9.9774011299435025E-3</v>
      </c>
      <c r="W105" s="48"/>
      <c r="X105" s="48"/>
      <c r="Y105" s="48">
        <f t="shared" si="123"/>
        <v>2.5289772727272727E-2</v>
      </c>
      <c r="Z105" s="48"/>
      <c r="AA105" s="48"/>
      <c r="AB105" s="48">
        <f t="shared" si="123"/>
        <v>1.5340740740740742E-2</v>
      </c>
      <c r="AC105" s="48"/>
      <c r="AD105" s="48"/>
      <c r="AE105" s="48">
        <f t="shared" si="123"/>
        <v>2.0320987654320985E-2</v>
      </c>
      <c r="AF105" s="48"/>
      <c r="AG105" s="48"/>
      <c r="AH105" s="48">
        <f t="shared" si="123"/>
        <v>3.3121621621621619E-2</v>
      </c>
      <c r="AI105" s="48"/>
      <c r="AJ105" s="48"/>
      <c r="AK105" s="48">
        <f t="shared" si="123"/>
        <v>2.5016666666666666E-2</v>
      </c>
      <c r="AL105" s="48"/>
      <c r="AM105" s="48"/>
      <c r="AN105" s="48"/>
      <c r="AO105" s="48"/>
      <c r="AP105" s="48">
        <v>3400000</v>
      </c>
      <c r="AQ105">
        <v>2000000</v>
      </c>
    </row>
    <row r="106" spans="1:43" x14ac:dyDescent="0.2">
      <c r="A106" s="117"/>
      <c r="B106" s="117"/>
      <c r="C106" s="117"/>
      <c r="D106" s="117"/>
      <c r="E106" s="121"/>
      <c r="F106" s="121"/>
      <c r="G106" s="121"/>
      <c r="H106" s="121"/>
      <c r="I106" s="121"/>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v>3130000</v>
      </c>
    </row>
    <row r="107" spans="1:43" x14ac:dyDescent="0.2">
      <c r="A107" s="117" t="s">
        <v>102</v>
      </c>
      <c r="B107" s="117"/>
      <c r="C107" s="117"/>
      <c r="D107" s="117"/>
      <c r="E107" s="107">
        <f>E103</f>
        <v>1024</v>
      </c>
      <c r="F107" s="107"/>
      <c r="G107" s="122">
        <f>E107+G103</f>
        <v>1159</v>
      </c>
      <c r="H107" s="122"/>
      <c r="I107" s="122"/>
      <c r="J107" s="122">
        <f>G107+J103</f>
        <v>1294</v>
      </c>
      <c r="K107" s="122"/>
      <c r="L107" s="122"/>
      <c r="M107" s="122">
        <f t="shared" ref="M107" si="124">J107+M103</f>
        <v>1667</v>
      </c>
      <c r="N107" s="122"/>
      <c r="O107" s="122"/>
      <c r="P107" s="122">
        <f>M107+P103</f>
        <v>1862</v>
      </c>
      <c r="Q107" s="122"/>
      <c r="R107" s="122"/>
      <c r="S107" s="122">
        <f>P107+S103</f>
        <v>2018</v>
      </c>
      <c r="T107" s="122"/>
      <c r="U107" s="122"/>
      <c r="V107" s="122">
        <f>S107+V103</f>
        <v>2195</v>
      </c>
      <c r="W107" s="122"/>
      <c r="X107" s="122"/>
      <c r="Y107" s="122">
        <f>V107+Y103</f>
        <v>2371</v>
      </c>
      <c r="Z107" s="122"/>
      <c r="AA107" s="122"/>
      <c r="AB107" s="122">
        <f>Y107+AB103</f>
        <v>2506</v>
      </c>
      <c r="AC107" s="122"/>
      <c r="AD107" s="122"/>
      <c r="AE107" s="122">
        <f>AB107+AE103</f>
        <v>2587</v>
      </c>
      <c r="AF107" s="122"/>
      <c r="AG107" s="122"/>
      <c r="AH107" s="122">
        <f>AE107+AH103</f>
        <v>2661</v>
      </c>
      <c r="AI107" s="122"/>
      <c r="AJ107" s="122"/>
      <c r="AK107" s="122">
        <f t="shared" ref="AK107" si="125">AH107+AK103</f>
        <v>2721</v>
      </c>
      <c r="AL107" s="122"/>
      <c r="AM107" s="122"/>
      <c r="AN107" s="122"/>
      <c r="AO107" s="122"/>
      <c r="AP107" s="122"/>
    </row>
    <row r="108" spans="1:43" x14ac:dyDescent="0.2">
      <c r="A108" s="117" t="s">
        <v>103</v>
      </c>
      <c r="B108" s="117"/>
      <c r="C108" s="117"/>
      <c r="D108" s="117"/>
      <c r="E108" s="122">
        <f>E101</f>
        <v>6.9255637500000002</v>
      </c>
      <c r="F108" s="122"/>
      <c r="G108" s="122">
        <f>E108+G101</f>
        <v>11.78156375</v>
      </c>
      <c r="H108" s="122"/>
      <c r="I108" s="122"/>
      <c r="J108" s="122">
        <f>G108+J101</f>
        <v>16.442563749999998</v>
      </c>
      <c r="K108" s="122"/>
      <c r="L108" s="122"/>
      <c r="M108" s="122">
        <f>J108+M101</f>
        <v>23.357843749999997</v>
      </c>
      <c r="N108" s="122"/>
      <c r="O108" s="122"/>
      <c r="P108" s="122">
        <f>M108+P101</f>
        <v>29.473843749999997</v>
      </c>
      <c r="Q108" s="122"/>
      <c r="R108" s="122"/>
      <c r="S108" s="122">
        <f>P108+S101</f>
        <v>37.535643749999998</v>
      </c>
      <c r="T108" s="122"/>
      <c r="U108" s="122"/>
      <c r="V108" s="122">
        <f>S108+V101</f>
        <v>39.301643749999997</v>
      </c>
      <c r="W108" s="122"/>
      <c r="X108" s="122"/>
      <c r="Y108" s="122">
        <f>V108+Y101</f>
        <v>43.752643749999997</v>
      </c>
      <c r="Z108" s="122"/>
      <c r="AA108" s="122"/>
      <c r="AB108" s="122">
        <f>Y108+AB101</f>
        <v>45.823643749999995</v>
      </c>
      <c r="AC108" s="122"/>
      <c r="AD108" s="122"/>
      <c r="AE108" s="122">
        <f>AB108+AE101</f>
        <v>47.469643749999996</v>
      </c>
      <c r="AF108" s="122"/>
      <c r="AG108" s="122"/>
      <c r="AH108" s="122">
        <f>AE108+AH101</f>
        <v>49.920643749999996</v>
      </c>
      <c r="AI108" s="122"/>
      <c r="AJ108" s="122"/>
      <c r="AK108" s="122">
        <f t="shared" ref="AK108" si="126">AH108+AK101</f>
        <v>51.421643749999994</v>
      </c>
      <c r="AL108" s="122"/>
      <c r="AM108" s="122"/>
      <c r="AN108" s="122"/>
      <c r="AO108" s="122"/>
      <c r="AP108" s="122"/>
    </row>
    <row r="109" spans="1:43" x14ac:dyDescent="0.2">
      <c r="A109" s="117" t="s">
        <v>104</v>
      </c>
      <c r="B109" s="117"/>
      <c r="C109" s="117"/>
      <c r="D109" s="117"/>
      <c r="E109" s="49">
        <f>+E108/E107</f>
        <v>6.7632458496093752E-3</v>
      </c>
      <c r="F109" s="49"/>
      <c r="G109" s="49">
        <f t="shared" ref="G109:AK109" si="127">+G108/G107</f>
        <v>1.0165283649698015E-2</v>
      </c>
      <c r="H109" s="49"/>
      <c r="I109" s="49"/>
      <c r="J109" s="49">
        <f t="shared" si="127"/>
        <v>1.2706772604327664E-2</v>
      </c>
      <c r="K109" s="49"/>
      <c r="L109" s="49"/>
      <c r="M109" s="49">
        <f t="shared" si="127"/>
        <v>1.4011903869226154E-2</v>
      </c>
      <c r="N109" s="49"/>
      <c r="O109" s="49"/>
      <c r="P109" s="49">
        <f t="shared" si="127"/>
        <v>1.5829131981740064E-2</v>
      </c>
      <c r="Q109" s="49"/>
      <c r="R109" s="49"/>
      <c r="S109" s="49">
        <f t="shared" si="127"/>
        <v>1.8600418111992069E-2</v>
      </c>
      <c r="T109" s="49"/>
      <c r="U109" s="49"/>
      <c r="V109" s="49">
        <f t="shared" si="127"/>
        <v>1.7905076879271068E-2</v>
      </c>
      <c r="W109" s="49"/>
      <c r="X109" s="49"/>
      <c r="Y109" s="49">
        <f t="shared" si="127"/>
        <v>1.8453244938844367E-2</v>
      </c>
      <c r="Z109" s="49"/>
      <c r="AA109" s="49"/>
      <c r="AB109" s="49">
        <f t="shared" si="127"/>
        <v>1.8285572126895449E-2</v>
      </c>
      <c r="AC109" s="49"/>
      <c r="AD109" s="49"/>
      <c r="AE109" s="49">
        <f t="shared" si="127"/>
        <v>1.8349301797448783E-2</v>
      </c>
      <c r="AF109" s="49"/>
      <c r="AG109" s="49"/>
      <c r="AH109" s="49">
        <f t="shared" si="127"/>
        <v>1.8760106632844793E-2</v>
      </c>
      <c r="AI109" s="49"/>
      <c r="AJ109" s="49"/>
      <c r="AK109" s="49">
        <f t="shared" si="127"/>
        <v>1.8898068265343623E-2</v>
      </c>
      <c r="AL109" s="49"/>
      <c r="AM109" s="49"/>
      <c r="AN109" s="49"/>
      <c r="AO109" s="49"/>
      <c r="AP109" s="49"/>
    </row>
    <row r="110" spans="1:43" ht="39" hidden="1" customHeight="1" x14ac:dyDescent="0.2">
      <c r="A110" s="123" t="s">
        <v>105</v>
      </c>
      <c r="B110" s="123"/>
      <c r="C110" s="123"/>
      <c r="D110" s="123"/>
      <c r="E110" s="124">
        <f t="shared" ref="E110:S111" si="128">E107/10000000</f>
        <v>1.024E-4</v>
      </c>
      <c r="F110" s="124"/>
      <c r="G110" s="124">
        <f t="shared" si="128"/>
        <v>1.159E-4</v>
      </c>
      <c r="H110" s="124"/>
      <c r="I110" s="124"/>
      <c r="J110" s="124">
        <f t="shared" si="128"/>
        <v>1.294E-4</v>
      </c>
      <c r="K110" s="124"/>
      <c r="L110" s="124"/>
      <c r="M110" s="124">
        <f t="shared" si="128"/>
        <v>1.6670000000000001E-4</v>
      </c>
      <c r="N110" s="124"/>
      <c r="O110" s="124"/>
      <c r="P110" s="124">
        <f t="shared" si="128"/>
        <v>1.862E-4</v>
      </c>
      <c r="Q110" s="124"/>
      <c r="R110" s="124"/>
      <c r="S110" s="124">
        <f t="shared" si="128"/>
        <v>2.018E-4</v>
      </c>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row>
    <row r="111" spans="1:43" hidden="1" x14ac:dyDescent="0.2">
      <c r="A111" s="123" t="s">
        <v>105</v>
      </c>
      <c r="B111" s="123"/>
      <c r="C111" s="123"/>
      <c r="D111" s="123"/>
      <c r="E111" s="124">
        <f>E108/10000000</f>
        <v>6.9255637499999998E-7</v>
      </c>
      <c r="F111" s="124"/>
      <c r="G111" s="124">
        <f t="shared" si="128"/>
        <v>1.178156375E-6</v>
      </c>
      <c r="H111" s="124"/>
      <c r="I111" s="124"/>
      <c r="J111" s="124">
        <f t="shared" si="128"/>
        <v>1.6442563749999997E-6</v>
      </c>
      <c r="K111" s="124"/>
      <c r="L111" s="124"/>
      <c r="M111" s="124">
        <f t="shared" si="128"/>
        <v>2.3357843749999999E-6</v>
      </c>
      <c r="N111" s="124"/>
      <c r="O111" s="124"/>
      <c r="P111" s="124">
        <f t="shared" si="128"/>
        <v>2.9473843749999997E-6</v>
      </c>
      <c r="Q111" s="124"/>
      <c r="R111" s="124"/>
      <c r="S111" s="124">
        <f t="shared" si="128"/>
        <v>3.753564375E-6</v>
      </c>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row>
    <row r="112" spans="1:43" hidden="1" x14ac:dyDescent="0.2"/>
    <row r="114" spans="1:42" x14ac:dyDescent="0.2">
      <c r="A114" s="177"/>
      <c r="B114" s="177"/>
      <c r="C114" s="177"/>
      <c r="D114" s="177"/>
      <c r="E114" s="177"/>
      <c r="F114" s="177"/>
      <c r="G114" s="177"/>
      <c r="H114" s="177"/>
      <c r="I114" s="177"/>
      <c r="J114" s="177"/>
      <c r="K114" s="177"/>
      <c r="L114" s="177"/>
      <c r="M114" s="177"/>
      <c r="N114" s="177"/>
      <c r="O114" s="177"/>
      <c r="P114" s="177"/>
      <c r="Q114" s="177"/>
      <c r="R114" s="177"/>
      <c r="S114" s="177"/>
      <c r="T114" s="128"/>
      <c r="U114" s="128"/>
      <c r="V114" s="128"/>
      <c r="W114" s="128"/>
      <c r="X114" s="128"/>
      <c r="Y114" s="128"/>
      <c r="Z114" s="128"/>
      <c r="AA114" s="128"/>
      <c r="AB114" s="128"/>
      <c r="AC114" s="128"/>
      <c r="AD114" s="128"/>
      <c r="AE114" s="128"/>
      <c r="AF114" s="128"/>
      <c r="AG114" s="128"/>
      <c r="AH114" s="128"/>
      <c r="AI114" s="128"/>
      <c r="AJ114" s="128"/>
      <c r="AK114" s="128"/>
      <c r="AL114" s="128"/>
      <c r="AM114" s="128"/>
      <c r="AN114" s="128"/>
      <c r="AO114" s="128"/>
      <c r="AP114" s="128"/>
    </row>
    <row r="115" spans="1:42" x14ac:dyDescent="0.2">
      <c r="A115" s="177" t="s">
        <v>117</v>
      </c>
      <c r="B115" s="177"/>
      <c r="C115" s="177"/>
      <c r="D115" s="177"/>
      <c r="E115" s="177"/>
      <c r="F115" s="177"/>
      <c r="G115" s="177"/>
      <c r="H115" s="177"/>
      <c r="I115" s="177"/>
      <c r="J115" s="177"/>
      <c r="K115" s="177"/>
      <c r="L115" s="177"/>
      <c r="M115" s="177"/>
      <c r="N115" s="128"/>
      <c r="O115" s="128"/>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AP115" s="129"/>
    </row>
    <row r="116" spans="1:42" x14ac:dyDescent="0.2">
      <c r="A116" s="177" t="s">
        <v>118</v>
      </c>
      <c r="B116" s="177"/>
      <c r="C116" s="177"/>
      <c r="D116" s="177"/>
      <c r="E116" s="177"/>
      <c r="F116" s="177"/>
      <c r="G116" s="177"/>
      <c r="H116" s="177"/>
      <c r="I116" s="177"/>
      <c r="J116" s="177"/>
      <c r="K116" s="177"/>
      <c r="L116" s="177"/>
      <c r="M116" s="177"/>
      <c r="N116" s="128"/>
      <c r="O116" s="128"/>
    </row>
  </sheetData>
  <mergeCells count="3">
    <mergeCell ref="A114:S114"/>
    <mergeCell ref="A115:M115"/>
    <mergeCell ref="A116:M116"/>
  </mergeCells>
  <conditionalFormatting sqref="E3:AP99">
    <cfRule type="cellIs" dxfId="1" priority="1" operator="lessThan">
      <formula>0</formula>
    </cfRule>
  </conditionalFormatting>
  <pageMargins left="0.25" right="0.25" top="0.75" bottom="0.75" header="0.3" footer="0.3"/>
  <pageSetup paperSize="9"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1385D-9398-624D-A182-BAB340528407}">
  <dimension ref="A1:AQ116"/>
  <sheetViews>
    <sheetView zoomScaleNormal="81" workbookViewId="0">
      <selection activeCell="R20" sqref="R20"/>
    </sheetView>
  </sheetViews>
  <sheetFormatPr baseColWidth="10" defaultColWidth="8.83203125" defaultRowHeight="16" x14ac:dyDescent="0.2"/>
  <cols>
    <col min="1" max="1" width="69.6640625" style="125" bestFit="1" customWidth="1"/>
    <col min="2" max="2" width="24.6640625" style="125" hidden="1" customWidth="1"/>
    <col min="3" max="3" width="23.1640625" style="125" hidden="1" customWidth="1"/>
    <col min="4" max="4" width="21" style="125" hidden="1" customWidth="1"/>
    <col min="5" max="5" width="11.83203125" style="126" bestFit="1" customWidth="1"/>
    <col min="6" max="6" width="11.6640625" style="126" customWidth="1"/>
    <col min="7" max="7" width="12.83203125" style="126" bestFit="1" customWidth="1"/>
    <col min="8" max="8" width="12.6640625" style="126" hidden="1" customWidth="1"/>
    <col min="9" max="9" width="12.6640625" style="126" customWidth="1"/>
    <col min="10" max="10" width="12.83203125" style="127" bestFit="1" customWidth="1"/>
    <col min="11" max="11" width="12.6640625" style="127" hidden="1" customWidth="1"/>
    <col min="12" max="12" width="12.6640625" style="127" customWidth="1"/>
    <col min="13" max="13" width="11.83203125" style="127" bestFit="1" customWidth="1"/>
    <col min="14" max="14" width="11.6640625" style="127" hidden="1" customWidth="1"/>
    <col min="15" max="15" width="11.6640625" style="127" customWidth="1"/>
    <col min="16" max="16" width="11.83203125" style="127" bestFit="1" customWidth="1"/>
    <col min="17" max="17" width="11.6640625" style="127" hidden="1" customWidth="1"/>
    <col min="18" max="18" width="11.6640625" style="127" customWidth="1"/>
    <col min="19" max="19" width="12.83203125" style="127" bestFit="1" customWidth="1"/>
    <col min="20" max="21" width="12.6640625" style="127" hidden="1" customWidth="1"/>
    <col min="22" max="22" width="11.83203125" style="127" bestFit="1" customWidth="1"/>
    <col min="23" max="24" width="11.6640625" style="127" hidden="1" customWidth="1"/>
    <col min="25" max="25" width="11.83203125" style="127" bestFit="1" customWidth="1"/>
    <col min="26" max="27" width="11.6640625" style="127" hidden="1" customWidth="1"/>
    <col min="28" max="28" width="11.83203125" style="127" bestFit="1" customWidth="1"/>
    <col min="29" max="30" width="11.6640625" style="127" hidden="1" customWidth="1"/>
    <col min="31" max="31" width="11.83203125" style="127" bestFit="1" customWidth="1"/>
    <col min="32" max="33" width="11.6640625" style="127" hidden="1" customWidth="1"/>
    <col min="34" max="34" width="12.83203125" style="127" bestFit="1" customWidth="1"/>
    <col min="35" max="36" width="12.6640625" style="127" hidden="1" customWidth="1"/>
    <col min="37" max="37" width="11.83203125" style="127" bestFit="1" customWidth="1"/>
    <col min="38" max="39" width="11.6640625" style="127" hidden="1" customWidth="1"/>
    <col min="40" max="40" width="12.33203125" style="127" bestFit="1" customWidth="1"/>
    <col min="41" max="41" width="11.6640625" style="127" bestFit="1" customWidth="1"/>
    <col min="42" max="42" width="15.6640625" style="127" bestFit="1" customWidth="1"/>
  </cols>
  <sheetData>
    <row r="1" spans="1:42" ht="52" customHeight="1" thickBot="1" x14ac:dyDescent="0.25">
      <c r="A1" s="171" t="s">
        <v>125</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row>
    <row r="2" spans="1:42" ht="33" thickBot="1" x14ac:dyDescent="0.25">
      <c r="A2" s="162" t="s">
        <v>0</v>
      </c>
      <c r="B2" s="163"/>
      <c r="C2" s="163"/>
      <c r="D2" s="163"/>
      <c r="E2" s="164" t="s">
        <v>1</v>
      </c>
      <c r="F2" s="164" t="s">
        <v>114</v>
      </c>
      <c r="G2" s="164" t="s">
        <v>1</v>
      </c>
      <c r="H2" s="163" t="s">
        <v>115</v>
      </c>
      <c r="I2" s="164" t="s">
        <v>114</v>
      </c>
      <c r="J2" s="164" t="s">
        <v>1</v>
      </c>
      <c r="K2" s="163" t="s">
        <v>115</v>
      </c>
      <c r="L2" s="164" t="s">
        <v>114</v>
      </c>
      <c r="M2" s="164" t="s">
        <v>1</v>
      </c>
      <c r="N2" s="163" t="s">
        <v>115</v>
      </c>
      <c r="O2" s="164" t="s">
        <v>114</v>
      </c>
      <c r="P2" s="164" t="s">
        <v>1</v>
      </c>
      <c r="Q2" s="163" t="s">
        <v>115</v>
      </c>
      <c r="R2" s="164" t="s">
        <v>114</v>
      </c>
      <c r="S2" s="164" t="s">
        <v>1</v>
      </c>
      <c r="T2" s="163" t="s">
        <v>115</v>
      </c>
      <c r="U2" s="164" t="s">
        <v>114</v>
      </c>
      <c r="V2" s="164" t="s">
        <v>1</v>
      </c>
      <c r="W2" s="163" t="s">
        <v>115</v>
      </c>
      <c r="X2" s="164" t="s">
        <v>114</v>
      </c>
      <c r="Y2" s="164" t="s">
        <v>1</v>
      </c>
      <c r="Z2" s="163" t="s">
        <v>115</v>
      </c>
      <c r="AA2" s="164" t="s">
        <v>114</v>
      </c>
      <c r="AB2" s="164" t="s">
        <v>1</v>
      </c>
      <c r="AC2" s="163" t="s">
        <v>115</v>
      </c>
      <c r="AD2" s="164" t="s">
        <v>114</v>
      </c>
      <c r="AE2" s="164" t="s">
        <v>1</v>
      </c>
      <c r="AF2" s="163" t="s">
        <v>115</v>
      </c>
      <c r="AG2" s="164" t="s">
        <v>114</v>
      </c>
      <c r="AH2" s="164" t="s">
        <v>1</v>
      </c>
      <c r="AI2" s="163" t="s">
        <v>115</v>
      </c>
      <c r="AJ2" s="164" t="s">
        <v>114</v>
      </c>
      <c r="AK2" s="164" t="s">
        <v>1</v>
      </c>
      <c r="AL2" s="163" t="s">
        <v>115</v>
      </c>
      <c r="AM2" s="165" t="s">
        <v>114</v>
      </c>
      <c r="AN2" s="166" t="s">
        <v>1</v>
      </c>
      <c r="AO2" s="167" t="s">
        <v>114</v>
      </c>
      <c r="AP2" s="166" t="s">
        <v>119</v>
      </c>
    </row>
    <row r="3" spans="1:42" s="50" customFormat="1" x14ac:dyDescent="0.2">
      <c r="A3" s="157"/>
      <c r="B3" s="157"/>
      <c r="C3" s="157"/>
      <c r="D3" s="157"/>
      <c r="E3" s="158">
        <v>45383</v>
      </c>
      <c r="F3" s="158">
        <v>45383</v>
      </c>
      <c r="G3" s="158">
        <v>45413</v>
      </c>
      <c r="H3" s="158">
        <v>45413</v>
      </c>
      <c r="I3" s="158">
        <v>45413</v>
      </c>
      <c r="J3" s="158">
        <v>45444</v>
      </c>
      <c r="K3" s="158">
        <f>J3</f>
        <v>45444</v>
      </c>
      <c r="L3" s="158">
        <f>K3</f>
        <v>45444</v>
      </c>
      <c r="M3" s="158">
        <v>45474</v>
      </c>
      <c r="N3" s="158">
        <f>M3</f>
        <v>45474</v>
      </c>
      <c r="O3" s="158">
        <f>N3</f>
        <v>45474</v>
      </c>
      <c r="P3" s="158">
        <v>45505</v>
      </c>
      <c r="Q3" s="158">
        <f>P3</f>
        <v>45505</v>
      </c>
      <c r="R3" s="158">
        <f>Q3</f>
        <v>45505</v>
      </c>
      <c r="S3" s="158">
        <v>45536</v>
      </c>
      <c r="T3" s="158">
        <f>S3</f>
        <v>45536</v>
      </c>
      <c r="U3" s="158">
        <f>T3</f>
        <v>45536</v>
      </c>
      <c r="V3" s="158">
        <v>45566</v>
      </c>
      <c r="W3" s="158">
        <f>V3</f>
        <v>45566</v>
      </c>
      <c r="X3" s="158">
        <f>W3</f>
        <v>45566</v>
      </c>
      <c r="Y3" s="158">
        <v>45597</v>
      </c>
      <c r="Z3" s="158">
        <f>Y3</f>
        <v>45597</v>
      </c>
      <c r="AA3" s="158">
        <f>Z3</f>
        <v>45597</v>
      </c>
      <c r="AB3" s="158">
        <v>45627</v>
      </c>
      <c r="AC3" s="158">
        <f>AB3</f>
        <v>45627</v>
      </c>
      <c r="AD3" s="158">
        <f>AC3</f>
        <v>45627</v>
      </c>
      <c r="AE3" s="158">
        <v>45658</v>
      </c>
      <c r="AF3" s="158">
        <f>AE3</f>
        <v>45658</v>
      </c>
      <c r="AG3" s="158">
        <f>AF3</f>
        <v>45658</v>
      </c>
      <c r="AH3" s="158">
        <v>45689</v>
      </c>
      <c r="AI3" s="158">
        <f>AH3</f>
        <v>45689</v>
      </c>
      <c r="AJ3" s="158">
        <f>AI3</f>
        <v>45689</v>
      </c>
      <c r="AK3" s="158">
        <v>45717</v>
      </c>
      <c r="AL3" s="158">
        <f>AK3</f>
        <v>45717</v>
      </c>
      <c r="AM3" s="159">
        <f>AL3</f>
        <v>45717</v>
      </c>
      <c r="AN3" s="160" t="s">
        <v>116</v>
      </c>
      <c r="AO3" s="161" t="s">
        <v>116</v>
      </c>
      <c r="AP3" s="160" t="s">
        <v>116</v>
      </c>
    </row>
    <row r="4" spans="1:42" x14ac:dyDescent="0.2">
      <c r="A4" s="38" t="s">
        <v>2</v>
      </c>
      <c r="B4" s="39">
        <v>725167</v>
      </c>
      <c r="C4" s="39">
        <v>31.1</v>
      </c>
      <c r="D4" s="39">
        <v>11</v>
      </c>
      <c r="E4" s="39">
        <f t="shared" ref="E4:AM4" si="0">SUM(E5:E7)</f>
        <v>910000</v>
      </c>
      <c r="F4" s="39">
        <f t="shared" si="0"/>
        <v>861400</v>
      </c>
      <c r="G4" s="39">
        <f t="shared" si="0"/>
        <v>910000</v>
      </c>
      <c r="H4" s="39">
        <f t="shared" si="0"/>
        <v>958600</v>
      </c>
      <c r="I4" s="39">
        <f t="shared" si="0"/>
        <v>856000</v>
      </c>
      <c r="J4" s="39">
        <f t="shared" si="0"/>
        <v>910000</v>
      </c>
      <c r="K4" s="39">
        <f t="shared" si="0"/>
        <v>1012600</v>
      </c>
      <c r="L4" s="39">
        <f t="shared" si="0"/>
        <v>861400</v>
      </c>
      <c r="M4" s="39">
        <f t="shared" si="0"/>
        <v>910000</v>
      </c>
      <c r="N4" s="39">
        <f t="shared" si="0"/>
        <v>1061200</v>
      </c>
      <c r="O4" s="39">
        <f t="shared" si="0"/>
        <v>861400</v>
      </c>
      <c r="P4" s="39">
        <f t="shared" si="0"/>
        <v>910000</v>
      </c>
      <c r="Q4" s="39">
        <f t="shared" si="0"/>
        <v>1109800</v>
      </c>
      <c r="R4" s="39">
        <f t="shared" si="0"/>
        <v>1019775</v>
      </c>
      <c r="S4" s="39">
        <f t="shared" si="0"/>
        <v>910000</v>
      </c>
      <c r="T4" s="39">
        <f t="shared" si="0"/>
        <v>1000025</v>
      </c>
      <c r="U4" s="39">
        <f t="shared" si="0"/>
        <v>0</v>
      </c>
      <c r="V4" s="39">
        <f t="shared" si="0"/>
        <v>910000</v>
      </c>
      <c r="W4" s="39">
        <f t="shared" si="0"/>
        <v>1910025</v>
      </c>
      <c r="X4" s="39">
        <f t="shared" si="0"/>
        <v>0</v>
      </c>
      <c r="Y4" s="39">
        <f t="shared" si="0"/>
        <v>910000</v>
      </c>
      <c r="Z4" s="39">
        <f t="shared" si="0"/>
        <v>2820025</v>
      </c>
      <c r="AA4" s="39">
        <f t="shared" si="0"/>
        <v>0</v>
      </c>
      <c r="AB4" s="39">
        <f t="shared" si="0"/>
        <v>910000</v>
      </c>
      <c r="AC4" s="39">
        <f t="shared" si="0"/>
        <v>3730025</v>
      </c>
      <c r="AD4" s="39">
        <f t="shared" si="0"/>
        <v>0</v>
      </c>
      <c r="AE4" s="39">
        <f t="shared" si="0"/>
        <v>910000</v>
      </c>
      <c r="AF4" s="39">
        <f t="shared" si="0"/>
        <v>4640025</v>
      </c>
      <c r="AG4" s="39">
        <f t="shared" si="0"/>
        <v>0</v>
      </c>
      <c r="AH4" s="39">
        <f t="shared" si="0"/>
        <v>910000</v>
      </c>
      <c r="AI4" s="39">
        <f t="shared" si="0"/>
        <v>5550025</v>
      </c>
      <c r="AJ4" s="39">
        <f t="shared" si="0"/>
        <v>0</v>
      </c>
      <c r="AK4" s="39">
        <f t="shared" si="0"/>
        <v>910000</v>
      </c>
      <c r="AL4" s="39">
        <f t="shared" si="0"/>
        <v>6460025</v>
      </c>
      <c r="AM4" s="39">
        <f t="shared" si="0"/>
        <v>0</v>
      </c>
      <c r="AN4" s="51">
        <f t="shared" ref="AN4:AN68" si="1">E4+G4+J4+M4+P4+S4+V4+Y4+AB4+AE4+AH4+AK4</f>
        <v>10920000</v>
      </c>
      <c r="AO4" s="55">
        <f>F4+I4+L4+O4+R4+U4+X4+AA4+AD4+AG4+AJ4+AM4</f>
        <v>4459975</v>
      </c>
      <c r="AP4" s="51">
        <f>AN4-AO4</f>
        <v>6460025</v>
      </c>
    </row>
    <row r="5" spans="1:42" x14ac:dyDescent="0.2">
      <c r="A5" s="37" t="s">
        <v>3</v>
      </c>
      <c r="B5" s="40"/>
      <c r="C5" s="40"/>
      <c r="D5" s="40"/>
      <c r="E5" s="68">
        <v>590000</v>
      </c>
      <c r="F5" s="68">
        <f>VLOOKUP(A5,APR!$A$4:$K$99,11,0)</f>
        <v>590000</v>
      </c>
      <c r="G5" s="68">
        <v>590000</v>
      </c>
      <c r="H5" s="68">
        <f>E5-F5+G5</f>
        <v>590000</v>
      </c>
      <c r="I5" s="68">
        <f>VLOOKUP(A5,MAY!$A$4:$K$99,11,0)</f>
        <v>590000</v>
      </c>
      <c r="J5" s="68">
        <v>590000</v>
      </c>
      <c r="K5" s="68">
        <f>H5-I5+J5</f>
        <v>590000</v>
      </c>
      <c r="L5" s="68">
        <f>VLOOKUP(A5,JUN!$A$4:$K$99,11,0)</f>
        <v>590000</v>
      </c>
      <c r="M5" s="68">
        <v>590000</v>
      </c>
      <c r="N5" s="68">
        <f>K5-L5+M5</f>
        <v>590000</v>
      </c>
      <c r="O5" s="68">
        <f>VLOOKUP(A5,JUL!$A$4:$K$99,11,0)</f>
        <v>590000</v>
      </c>
      <c r="P5" s="68">
        <v>590000</v>
      </c>
      <c r="Q5" s="68">
        <f>N5-O5+P5</f>
        <v>590000</v>
      </c>
      <c r="R5" s="175">
        <f>VLOOKUP(A5,AUG!$A$4:$K$99,11,0)</f>
        <v>590000</v>
      </c>
      <c r="S5" s="68">
        <v>590000</v>
      </c>
      <c r="T5" s="68">
        <f>Q5-R5+S5</f>
        <v>590000</v>
      </c>
      <c r="U5" s="68"/>
      <c r="V5" s="68">
        <v>590000</v>
      </c>
      <c r="W5" s="68">
        <f>T5-U5+V5</f>
        <v>1180000</v>
      </c>
      <c r="X5" s="68"/>
      <c r="Y5" s="68">
        <v>590000</v>
      </c>
      <c r="Z5" s="68">
        <f>W5-X5+Y5</f>
        <v>1770000</v>
      </c>
      <c r="AA5" s="68"/>
      <c r="AB5" s="68">
        <v>590000</v>
      </c>
      <c r="AC5" s="68">
        <f>Z5-AA5+AB5</f>
        <v>2360000</v>
      </c>
      <c r="AD5" s="68"/>
      <c r="AE5" s="68">
        <v>590000</v>
      </c>
      <c r="AF5" s="68">
        <f>AC5-AD5+AE5</f>
        <v>2950000</v>
      </c>
      <c r="AG5" s="68"/>
      <c r="AH5" s="68">
        <v>590000</v>
      </c>
      <c r="AI5" s="68">
        <f>AF5-AG5+AH5</f>
        <v>3540000</v>
      </c>
      <c r="AJ5" s="68"/>
      <c r="AK5" s="68">
        <v>590000</v>
      </c>
      <c r="AL5" s="68">
        <f>AI5-AJ5+AK5</f>
        <v>4130000</v>
      </c>
      <c r="AM5" s="68"/>
      <c r="AN5" s="70">
        <f t="shared" si="1"/>
        <v>7080000</v>
      </c>
      <c r="AO5" s="71">
        <f t="shared" ref="AO5:AO68" si="2">F5+I5+L5+O5+R5+U5+X5+AA5+AD5+AG5+AJ5+AM5</f>
        <v>2950000</v>
      </c>
      <c r="AP5" s="70">
        <f t="shared" ref="AP5:AP68" si="3">AN5-AO5</f>
        <v>4130000</v>
      </c>
    </row>
    <row r="6" spans="1:42" x14ac:dyDescent="0.2">
      <c r="A6" s="37" t="s">
        <v>4</v>
      </c>
      <c r="B6" s="40"/>
      <c r="C6" s="40"/>
      <c r="D6" s="40"/>
      <c r="E6" s="68">
        <v>270000</v>
      </c>
      <c r="F6" s="68">
        <f>VLOOKUP(A6,APR!$A$4:$K$99,11,0)</f>
        <v>236000</v>
      </c>
      <c r="G6" s="68">
        <v>270000</v>
      </c>
      <c r="H6" s="68">
        <f>E6-F6+G6</f>
        <v>304000</v>
      </c>
      <c r="I6" s="68">
        <f>VLOOKUP(A6,MAY!$A$4:$K$99,11,0)</f>
        <v>236000</v>
      </c>
      <c r="J6" s="68">
        <v>270000</v>
      </c>
      <c r="K6" s="68">
        <f>H6-I6+J6</f>
        <v>338000</v>
      </c>
      <c r="L6" s="68">
        <f>VLOOKUP(A6,JUN!$A$4:$K$99,11,0)</f>
        <v>236000</v>
      </c>
      <c r="M6" s="68">
        <v>270000</v>
      </c>
      <c r="N6" s="68">
        <f>K6-L6+M6</f>
        <v>372000</v>
      </c>
      <c r="O6" s="68">
        <f>VLOOKUP(A6,JUL!$A$4:$K$99,11,0)</f>
        <v>236000</v>
      </c>
      <c r="P6" s="68">
        <v>270000</v>
      </c>
      <c r="Q6" s="68">
        <f>N6-O6+P6</f>
        <v>406000</v>
      </c>
      <c r="R6" s="175">
        <f>VLOOKUP(A6,AUG!$A$4:$K$99,11,0)</f>
        <v>236000</v>
      </c>
      <c r="S6" s="68">
        <v>270000</v>
      </c>
      <c r="T6" s="68">
        <f>Q6-R6+S6</f>
        <v>440000</v>
      </c>
      <c r="U6" s="68"/>
      <c r="V6" s="68">
        <v>270000</v>
      </c>
      <c r="W6" s="68">
        <f>T6-U6+V6</f>
        <v>710000</v>
      </c>
      <c r="X6" s="68"/>
      <c r="Y6" s="68">
        <v>270000</v>
      </c>
      <c r="Z6" s="68">
        <f>W6-X6+Y6</f>
        <v>980000</v>
      </c>
      <c r="AA6" s="68"/>
      <c r="AB6" s="68">
        <v>270000</v>
      </c>
      <c r="AC6" s="68">
        <f>Z6-AA6+AB6</f>
        <v>1250000</v>
      </c>
      <c r="AD6" s="68"/>
      <c r="AE6" s="68">
        <v>270000</v>
      </c>
      <c r="AF6" s="68">
        <f>AC6-AD6+AE6</f>
        <v>1520000</v>
      </c>
      <c r="AG6" s="68"/>
      <c r="AH6" s="68">
        <v>270000</v>
      </c>
      <c r="AI6" s="68">
        <f>AF6-AG6+AH6</f>
        <v>1790000</v>
      </c>
      <c r="AJ6" s="68"/>
      <c r="AK6" s="68">
        <v>270000</v>
      </c>
      <c r="AL6" s="68">
        <f>AI6-AJ6+AK6</f>
        <v>2060000</v>
      </c>
      <c r="AM6" s="69"/>
      <c r="AN6" s="70">
        <f t="shared" si="1"/>
        <v>3240000</v>
      </c>
      <c r="AO6" s="71">
        <f t="shared" si="2"/>
        <v>1180000</v>
      </c>
      <c r="AP6" s="70">
        <f t="shared" si="3"/>
        <v>2060000</v>
      </c>
    </row>
    <row r="7" spans="1:42" x14ac:dyDescent="0.2">
      <c r="A7" s="37" t="s">
        <v>5</v>
      </c>
      <c r="B7" s="40"/>
      <c r="C7" s="40"/>
      <c r="D7" s="40"/>
      <c r="E7" s="72">
        <v>50000</v>
      </c>
      <c r="F7" s="68">
        <f>VLOOKUP(A7,APR!$A$4:$K$99,11,0)</f>
        <v>35400</v>
      </c>
      <c r="G7" s="72">
        <v>50000</v>
      </c>
      <c r="H7" s="68">
        <f>E7-F7+G7</f>
        <v>64600</v>
      </c>
      <c r="I7" s="68">
        <f>VLOOKUP(A7,MAY!$A$4:$K$99,11,0)</f>
        <v>30000</v>
      </c>
      <c r="J7" s="72">
        <v>50000</v>
      </c>
      <c r="K7" s="68">
        <f>H7-I7+J7</f>
        <v>84600</v>
      </c>
      <c r="L7" s="68">
        <f>VLOOKUP(A7,JUN!$A$4:$K$99,11,0)</f>
        <v>35400</v>
      </c>
      <c r="M7" s="72">
        <v>50000</v>
      </c>
      <c r="N7" s="68">
        <f>K7-L7+M7</f>
        <v>99200</v>
      </c>
      <c r="O7" s="68">
        <f>VLOOKUP(A7,JUL!$A$4:$K$99,11,0)</f>
        <v>35400</v>
      </c>
      <c r="P7" s="72">
        <v>50000</v>
      </c>
      <c r="Q7" s="68">
        <f>N7-O7+P7</f>
        <v>113800</v>
      </c>
      <c r="R7" s="175">
        <f>VLOOKUP(A7,AUG!$A$4:$K$99,11,0)</f>
        <v>193775</v>
      </c>
      <c r="S7" s="72">
        <v>50000</v>
      </c>
      <c r="T7" s="68">
        <f>Q7-R7+S7</f>
        <v>-29975</v>
      </c>
      <c r="U7" s="72"/>
      <c r="V7" s="72">
        <v>50000</v>
      </c>
      <c r="W7" s="68">
        <f>T7-U7+V7</f>
        <v>20025</v>
      </c>
      <c r="X7" s="72"/>
      <c r="Y7" s="72">
        <v>50000</v>
      </c>
      <c r="Z7" s="68">
        <f>W7-X7+Y7</f>
        <v>70025</v>
      </c>
      <c r="AA7" s="72"/>
      <c r="AB7" s="72">
        <v>50000</v>
      </c>
      <c r="AC7" s="68">
        <f>Z7-AA7+AB7</f>
        <v>120025</v>
      </c>
      <c r="AD7" s="72"/>
      <c r="AE7" s="72">
        <v>50000</v>
      </c>
      <c r="AF7" s="68">
        <f>AC7-AD7+AE7</f>
        <v>170025</v>
      </c>
      <c r="AG7" s="72"/>
      <c r="AH7" s="72">
        <v>50000</v>
      </c>
      <c r="AI7" s="68">
        <f>AF7-AG7+AH7</f>
        <v>220025</v>
      </c>
      <c r="AJ7" s="72"/>
      <c r="AK7" s="72">
        <v>50000</v>
      </c>
      <c r="AL7" s="68">
        <f>AI7-AJ7+AK7</f>
        <v>270025</v>
      </c>
      <c r="AM7" s="73"/>
      <c r="AN7" s="74">
        <f t="shared" si="1"/>
        <v>600000</v>
      </c>
      <c r="AO7" s="75">
        <f t="shared" si="2"/>
        <v>329975</v>
      </c>
      <c r="AP7" s="74">
        <f t="shared" si="3"/>
        <v>270025</v>
      </c>
    </row>
    <row r="8" spans="1:42" x14ac:dyDescent="0.2">
      <c r="A8" s="38" t="s">
        <v>6</v>
      </c>
      <c r="B8" s="39"/>
      <c r="C8" s="39"/>
      <c r="D8" s="39">
        <v>9</v>
      </c>
      <c r="E8" s="39">
        <f t="shared" ref="E8:AM8" si="4">SUM(E9:E14)</f>
        <v>13609637.5</v>
      </c>
      <c r="F8" s="39">
        <f t="shared" si="4"/>
        <v>0</v>
      </c>
      <c r="G8" s="39">
        <f t="shared" si="4"/>
        <v>2000000</v>
      </c>
      <c r="H8" s="39">
        <f t="shared" si="4"/>
        <v>15609637.5</v>
      </c>
      <c r="I8" s="39">
        <f t="shared" si="4"/>
        <v>3089677.78</v>
      </c>
      <c r="J8" s="39">
        <f t="shared" si="4"/>
        <v>4000000</v>
      </c>
      <c r="K8" s="39">
        <f t="shared" si="4"/>
        <v>16519959.720000001</v>
      </c>
      <c r="L8" s="39">
        <f t="shared" si="4"/>
        <v>2656500</v>
      </c>
      <c r="M8" s="39">
        <f t="shared" si="4"/>
        <v>500000</v>
      </c>
      <c r="N8" s="39">
        <f t="shared" si="4"/>
        <v>14363459.720000001</v>
      </c>
      <c r="O8" s="39">
        <f t="shared" si="4"/>
        <v>3833936.06</v>
      </c>
      <c r="P8" s="39">
        <f t="shared" si="4"/>
        <v>0</v>
      </c>
      <c r="Q8" s="39">
        <f t="shared" si="4"/>
        <v>10529523.66</v>
      </c>
      <c r="R8" s="39">
        <f t="shared" si="4"/>
        <v>429815</v>
      </c>
      <c r="S8" s="39">
        <f t="shared" si="4"/>
        <v>0</v>
      </c>
      <c r="T8" s="39">
        <f t="shared" si="4"/>
        <v>10099708.66</v>
      </c>
      <c r="U8" s="39">
        <f t="shared" si="4"/>
        <v>0</v>
      </c>
      <c r="V8" s="39">
        <f t="shared" si="4"/>
        <v>0</v>
      </c>
      <c r="W8" s="39">
        <f t="shared" si="4"/>
        <v>10099708.66</v>
      </c>
      <c r="X8" s="39">
        <f t="shared" si="4"/>
        <v>0</v>
      </c>
      <c r="Y8" s="39">
        <f t="shared" si="4"/>
        <v>0</v>
      </c>
      <c r="Z8" s="39">
        <f t="shared" si="4"/>
        <v>10099708.66</v>
      </c>
      <c r="AA8" s="39">
        <f t="shared" si="4"/>
        <v>0</v>
      </c>
      <c r="AB8" s="39">
        <f t="shared" si="4"/>
        <v>0</v>
      </c>
      <c r="AC8" s="39">
        <f t="shared" si="4"/>
        <v>10099708.66</v>
      </c>
      <c r="AD8" s="39">
        <f t="shared" si="4"/>
        <v>0</v>
      </c>
      <c r="AE8" s="39">
        <f t="shared" si="4"/>
        <v>0</v>
      </c>
      <c r="AF8" s="39">
        <f t="shared" si="4"/>
        <v>10099708.66</v>
      </c>
      <c r="AG8" s="39">
        <f t="shared" si="4"/>
        <v>0</v>
      </c>
      <c r="AH8" s="39">
        <f t="shared" si="4"/>
        <v>0</v>
      </c>
      <c r="AI8" s="39">
        <f t="shared" si="4"/>
        <v>10099708.66</v>
      </c>
      <c r="AJ8" s="39">
        <f t="shared" si="4"/>
        <v>0</v>
      </c>
      <c r="AK8" s="39">
        <f t="shared" si="4"/>
        <v>0</v>
      </c>
      <c r="AL8" s="39">
        <f t="shared" si="4"/>
        <v>10099708.66</v>
      </c>
      <c r="AM8" s="39">
        <f t="shared" si="4"/>
        <v>0</v>
      </c>
      <c r="AN8" s="51">
        <f t="shared" si="1"/>
        <v>20109637.5</v>
      </c>
      <c r="AO8" s="55">
        <f t="shared" si="2"/>
        <v>10009928.84</v>
      </c>
      <c r="AP8" s="51">
        <f t="shared" si="3"/>
        <v>10099708.66</v>
      </c>
    </row>
    <row r="9" spans="1:42" x14ac:dyDescent="0.2">
      <c r="A9" s="37" t="s">
        <v>7</v>
      </c>
      <c r="B9" s="40"/>
      <c r="C9" s="40"/>
      <c r="D9" s="40"/>
      <c r="E9" s="72">
        <v>1000000</v>
      </c>
      <c r="F9" s="68">
        <f>VLOOKUP(A9,APR!$A$4:$K$99,11,0)</f>
        <v>0</v>
      </c>
      <c r="G9" s="72"/>
      <c r="H9" s="68">
        <f>E9-F9+G9</f>
        <v>1000000</v>
      </c>
      <c r="I9" s="68">
        <f>VLOOKUP(A9,MAY!$A$4:$K$99,11,0)</f>
        <v>0</v>
      </c>
      <c r="J9" s="72"/>
      <c r="K9" s="68">
        <f>H9-I9+J9</f>
        <v>1000000</v>
      </c>
      <c r="L9" s="68">
        <f>VLOOKUP(A9,JUN!$A$4:$K$99,11,0)</f>
        <v>0</v>
      </c>
      <c r="M9" s="72"/>
      <c r="N9" s="68">
        <f>K9-L9+M9</f>
        <v>1000000</v>
      </c>
      <c r="O9" s="68">
        <f>VLOOKUP(A9,JUL!$A$4:$K$99,11,0)</f>
        <v>0</v>
      </c>
      <c r="P9" s="72"/>
      <c r="Q9" s="68">
        <f>N9-O9+P9</f>
        <v>1000000</v>
      </c>
      <c r="R9" s="175">
        <f>VLOOKUP(A9,AUG!$A$4:$K$99,11,0)</f>
        <v>0</v>
      </c>
      <c r="S9" s="72"/>
      <c r="T9" s="68">
        <f>Q9-R9+S9</f>
        <v>1000000</v>
      </c>
      <c r="U9" s="72"/>
      <c r="V9" s="72"/>
      <c r="W9" s="68">
        <f>T9-U9+V9</f>
        <v>1000000</v>
      </c>
      <c r="X9" s="72"/>
      <c r="Y9" s="72"/>
      <c r="Z9" s="68">
        <f>W9-X9+Y9</f>
        <v>1000000</v>
      </c>
      <c r="AA9" s="72"/>
      <c r="AB9" s="72"/>
      <c r="AC9" s="68">
        <f>Z9-AA9+AB9</f>
        <v>1000000</v>
      </c>
      <c r="AD9" s="72"/>
      <c r="AE9" s="72"/>
      <c r="AF9" s="68">
        <f>AC9-AD9+AE9</f>
        <v>1000000</v>
      </c>
      <c r="AG9" s="72"/>
      <c r="AH9" s="72"/>
      <c r="AI9" s="68">
        <f>AF9-AG9+AH9</f>
        <v>1000000</v>
      </c>
      <c r="AJ9" s="72"/>
      <c r="AK9" s="72"/>
      <c r="AL9" s="68">
        <f>AI9-AJ9+AK9</f>
        <v>1000000</v>
      </c>
      <c r="AM9" s="73"/>
      <c r="AN9" s="74">
        <f t="shared" si="1"/>
        <v>1000000</v>
      </c>
      <c r="AO9" s="75">
        <f t="shared" si="2"/>
        <v>0</v>
      </c>
      <c r="AP9" s="74">
        <f t="shared" si="3"/>
        <v>1000000</v>
      </c>
    </row>
    <row r="10" spans="1:42" x14ac:dyDescent="0.2">
      <c r="A10" s="37" t="s">
        <v>8</v>
      </c>
      <c r="B10" s="40"/>
      <c r="C10" s="40"/>
      <c r="D10" s="40"/>
      <c r="E10" s="72">
        <v>12609637.5</v>
      </c>
      <c r="F10" s="68">
        <f>VLOOKUP(A10,APR!$A$4:$K$99,11,0)</f>
        <v>0</v>
      </c>
      <c r="G10" s="72"/>
      <c r="H10" s="68">
        <f t="shared" ref="H10:H14" si="5">E10-F10+G10</f>
        <v>12609637.5</v>
      </c>
      <c r="I10" s="68">
        <f>VLOOKUP(A10,MAY!$A$4:$K$99,11,0)</f>
        <v>3089677.78</v>
      </c>
      <c r="J10" s="72"/>
      <c r="K10" s="68">
        <f t="shared" ref="K10:K14" si="6">H10-I10+J10</f>
        <v>9519959.7200000007</v>
      </c>
      <c r="L10" s="68">
        <f>VLOOKUP(A10,JUN!$A$4:$K$99,11,0)</f>
        <v>0</v>
      </c>
      <c r="M10" s="72"/>
      <c r="N10" s="68">
        <f t="shared" ref="N10:N14" si="7">K10-L10+M10</f>
        <v>9519959.7200000007</v>
      </c>
      <c r="O10" s="68">
        <f>VLOOKUP(A10,JUL!$A$4:$K$99,11,0)</f>
        <v>3081856.06</v>
      </c>
      <c r="P10" s="72"/>
      <c r="Q10" s="68">
        <f t="shared" ref="Q10:Q14" si="8">N10-O10+P10</f>
        <v>6438103.6600000001</v>
      </c>
      <c r="R10" s="175">
        <f>VLOOKUP(A10,AUG!$A$4:$K$99,11,0)</f>
        <v>0</v>
      </c>
      <c r="S10" s="72"/>
      <c r="T10" s="68">
        <f t="shared" ref="T10:T14" si="9">Q10-R10+S10</f>
        <v>6438103.6600000001</v>
      </c>
      <c r="U10" s="72"/>
      <c r="V10" s="72"/>
      <c r="W10" s="68">
        <f t="shared" ref="W10:W14" si="10">T10-U10+V10</f>
        <v>6438103.6600000001</v>
      </c>
      <c r="X10" s="72"/>
      <c r="Y10" s="72"/>
      <c r="Z10" s="68">
        <f t="shared" ref="Z10:Z14" si="11">W10-X10+Y10</f>
        <v>6438103.6600000001</v>
      </c>
      <c r="AA10" s="72"/>
      <c r="AB10" s="72"/>
      <c r="AC10" s="68">
        <f t="shared" ref="AC10:AC14" si="12">Z10-AA10+AB10</f>
        <v>6438103.6600000001</v>
      </c>
      <c r="AD10" s="72"/>
      <c r="AE10" s="72"/>
      <c r="AF10" s="68">
        <f t="shared" ref="AF10:AF14" si="13">AC10-AD10+AE10</f>
        <v>6438103.6600000001</v>
      </c>
      <c r="AG10" s="72"/>
      <c r="AH10" s="72"/>
      <c r="AI10" s="68">
        <f t="shared" ref="AI10:AI14" si="14">AF10-AG10+AH10</f>
        <v>6438103.6600000001</v>
      </c>
      <c r="AJ10" s="72"/>
      <c r="AK10" s="72"/>
      <c r="AL10" s="68">
        <f t="shared" ref="AL10:AL14" si="15">AI10-AJ10+AK10</f>
        <v>6438103.6600000001</v>
      </c>
      <c r="AM10" s="73"/>
      <c r="AN10" s="74">
        <f t="shared" si="1"/>
        <v>12609637.5</v>
      </c>
      <c r="AO10" s="75">
        <f t="shared" si="2"/>
        <v>6171533.8399999999</v>
      </c>
      <c r="AP10" s="74">
        <f t="shared" si="3"/>
        <v>6438103.6600000001</v>
      </c>
    </row>
    <row r="11" spans="1:42" x14ac:dyDescent="0.2">
      <c r="A11" s="37" t="s">
        <v>9</v>
      </c>
      <c r="B11" s="40"/>
      <c r="C11" s="40"/>
      <c r="D11" s="40"/>
      <c r="E11" s="72"/>
      <c r="F11" s="68">
        <f>VLOOKUP(A11,APR!$A$4:$K$99,11,0)</f>
        <v>0</v>
      </c>
      <c r="G11" s="72">
        <v>2000000</v>
      </c>
      <c r="H11" s="68">
        <f t="shared" si="5"/>
        <v>2000000</v>
      </c>
      <c r="I11" s="68">
        <f>VLOOKUP(A11,MAY!$A$4:$K$99,11,0)</f>
        <v>0</v>
      </c>
      <c r="J11" s="72"/>
      <c r="K11" s="68">
        <f t="shared" si="6"/>
        <v>2000000</v>
      </c>
      <c r="L11" s="68">
        <f>VLOOKUP(A11,JUN!$A$4:$K$99,11,0)</f>
        <v>1464700</v>
      </c>
      <c r="M11" s="72"/>
      <c r="N11" s="68">
        <f t="shared" si="7"/>
        <v>535300</v>
      </c>
      <c r="O11" s="68">
        <f>VLOOKUP(A11,JUL!$A$4:$K$99,11,0)</f>
        <v>450000</v>
      </c>
      <c r="P11" s="72"/>
      <c r="Q11" s="68">
        <f t="shared" si="8"/>
        <v>85300</v>
      </c>
      <c r="R11" s="175">
        <f>VLOOKUP(A11,AUG!$A$4:$K$99,11,0)</f>
        <v>19470</v>
      </c>
      <c r="S11" s="72"/>
      <c r="T11" s="68">
        <f t="shared" si="9"/>
        <v>65830</v>
      </c>
      <c r="U11" s="72"/>
      <c r="V11" s="72"/>
      <c r="W11" s="68">
        <f t="shared" si="10"/>
        <v>65830</v>
      </c>
      <c r="X11" s="72"/>
      <c r="Y11" s="72"/>
      <c r="Z11" s="68">
        <f t="shared" si="11"/>
        <v>65830</v>
      </c>
      <c r="AA11" s="72"/>
      <c r="AB11" s="72"/>
      <c r="AC11" s="68">
        <f t="shared" si="12"/>
        <v>65830</v>
      </c>
      <c r="AD11" s="72"/>
      <c r="AE11" s="72"/>
      <c r="AF11" s="68">
        <f t="shared" si="13"/>
        <v>65830</v>
      </c>
      <c r="AG11" s="72"/>
      <c r="AH11" s="72"/>
      <c r="AI11" s="68">
        <f t="shared" si="14"/>
        <v>65830</v>
      </c>
      <c r="AJ11" s="72"/>
      <c r="AK11" s="72"/>
      <c r="AL11" s="68">
        <f t="shared" si="15"/>
        <v>65830</v>
      </c>
      <c r="AM11" s="73"/>
      <c r="AN11" s="74">
        <f t="shared" si="1"/>
        <v>2000000</v>
      </c>
      <c r="AO11" s="75">
        <f t="shared" si="2"/>
        <v>1934170</v>
      </c>
      <c r="AP11" s="74">
        <f t="shared" si="3"/>
        <v>65830</v>
      </c>
    </row>
    <row r="12" spans="1:42" x14ac:dyDescent="0.2">
      <c r="A12" s="37" t="s">
        <v>10</v>
      </c>
      <c r="B12" s="40"/>
      <c r="C12" s="40"/>
      <c r="D12" s="40"/>
      <c r="E12" s="72"/>
      <c r="F12" s="68">
        <f>VLOOKUP(A12,APR!$A$4:$K$99,11,0)</f>
        <v>0</v>
      </c>
      <c r="G12" s="72"/>
      <c r="H12" s="68">
        <f t="shared" si="5"/>
        <v>0</v>
      </c>
      <c r="I12" s="68">
        <f>VLOOKUP(A12,MAY!$A$4:$K$99,11,0)</f>
        <v>0</v>
      </c>
      <c r="J12" s="72"/>
      <c r="K12" s="68">
        <f t="shared" si="6"/>
        <v>0</v>
      </c>
      <c r="L12" s="68">
        <f>VLOOKUP(A12,JUN!$A$4:$K$99,11,0)</f>
        <v>200600</v>
      </c>
      <c r="M12" s="72">
        <v>500000</v>
      </c>
      <c r="N12" s="68">
        <f t="shared" si="7"/>
        <v>299400</v>
      </c>
      <c r="O12" s="68">
        <f>VLOOKUP(A12,JUL!$A$4:$K$99,11,0)</f>
        <v>0</v>
      </c>
      <c r="P12" s="72"/>
      <c r="Q12" s="68">
        <f t="shared" si="8"/>
        <v>299400</v>
      </c>
      <c r="R12" s="175">
        <f>VLOOKUP(A12,AUG!$A$4:$K$99,11,0)</f>
        <v>0</v>
      </c>
      <c r="S12" s="72"/>
      <c r="T12" s="68">
        <f t="shared" si="9"/>
        <v>299400</v>
      </c>
      <c r="U12" s="72"/>
      <c r="V12" s="72"/>
      <c r="W12" s="68">
        <f t="shared" si="10"/>
        <v>299400</v>
      </c>
      <c r="X12" s="72"/>
      <c r="Y12" s="72"/>
      <c r="Z12" s="68">
        <f t="shared" si="11"/>
        <v>299400</v>
      </c>
      <c r="AA12" s="72"/>
      <c r="AB12" s="72"/>
      <c r="AC12" s="68">
        <f t="shared" si="12"/>
        <v>299400</v>
      </c>
      <c r="AD12" s="72"/>
      <c r="AE12" s="72"/>
      <c r="AF12" s="68">
        <f t="shared" si="13"/>
        <v>299400</v>
      </c>
      <c r="AG12" s="72"/>
      <c r="AH12" s="72"/>
      <c r="AI12" s="68">
        <f t="shared" si="14"/>
        <v>299400</v>
      </c>
      <c r="AJ12" s="72"/>
      <c r="AK12" s="72"/>
      <c r="AL12" s="68">
        <f t="shared" si="15"/>
        <v>299400</v>
      </c>
      <c r="AM12" s="73"/>
      <c r="AN12" s="74">
        <f t="shared" si="1"/>
        <v>500000</v>
      </c>
      <c r="AO12" s="75">
        <f t="shared" si="2"/>
        <v>200600</v>
      </c>
      <c r="AP12" s="74">
        <f t="shared" si="3"/>
        <v>299400</v>
      </c>
    </row>
    <row r="13" spans="1:42" x14ac:dyDescent="0.2">
      <c r="A13" s="37" t="s">
        <v>11</v>
      </c>
      <c r="B13" s="40"/>
      <c r="C13" s="40"/>
      <c r="D13" s="40"/>
      <c r="E13" s="72"/>
      <c r="F13" s="68">
        <f>VLOOKUP(A13,APR!$A$4:$K$99,11,0)</f>
        <v>0</v>
      </c>
      <c r="G13" s="72"/>
      <c r="H13" s="68">
        <f t="shared" si="5"/>
        <v>0</v>
      </c>
      <c r="I13" s="68">
        <f>VLOOKUP(A13,MAY!$A$4:$K$99,11,0)</f>
        <v>0</v>
      </c>
      <c r="J13" s="72">
        <v>1500000</v>
      </c>
      <c r="K13" s="68">
        <f t="shared" si="6"/>
        <v>1500000</v>
      </c>
      <c r="L13" s="68">
        <f>VLOOKUP(A13,JUN!$A$4:$K$99,11,0)</f>
        <v>0</v>
      </c>
      <c r="M13" s="72"/>
      <c r="N13" s="68">
        <f t="shared" si="7"/>
        <v>1500000</v>
      </c>
      <c r="O13" s="68">
        <f>VLOOKUP(A13,JUL!$A$4:$K$99,11,0)</f>
        <v>118000</v>
      </c>
      <c r="P13" s="72"/>
      <c r="Q13" s="68">
        <f t="shared" si="8"/>
        <v>1382000</v>
      </c>
      <c r="R13" s="175">
        <f>VLOOKUP(A13,AUG!$A$4:$K$99,11,0)</f>
        <v>0</v>
      </c>
      <c r="S13" s="72"/>
      <c r="T13" s="68">
        <f t="shared" si="9"/>
        <v>1382000</v>
      </c>
      <c r="U13" s="72"/>
      <c r="V13" s="72"/>
      <c r="W13" s="68">
        <f t="shared" si="10"/>
        <v>1382000</v>
      </c>
      <c r="X13" s="72"/>
      <c r="Y13" s="72"/>
      <c r="Z13" s="68">
        <f t="shared" si="11"/>
        <v>1382000</v>
      </c>
      <c r="AA13" s="72"/>
      <c r="AB13" s="72"/>
      <c r="AC13" s="68">
        <f t="shared" si="12"/>
        <v>1382000</v>
      </c>
      <c r="AD13" s="72"/>
      <c r="AE13" s="72"/>
      <c r="AF13" s="68">
        <f t="shared" si="13"/>
        <v>1382000</v>
      </c>
      <c r="AG13" s="72"/>
      <c r="AH13" s="72"/>
      <c r="AI13" s="68">
        <f t="shared" si="14"/>
        <v>1382000</v>
      </c>
      <c r="AJ13" s="72"/>
      <c r="AK13" s="72"/>
      <c r="AL13" s="68">
        <f t="shared" si="15"/>
        <v>1382000</v>
      </c>
      <c r="AM13" s="73"/>
      <c r="AN13" s="74">
        <f t="shared" si="1"/>
        <v>1500000</v>
      </c>
      <c r="AO13" s="75">
        <f t="shared" si="2"/>
        <v>118000</v>
      </c>
      <c r="AP13" s="74">
        <f t="shared" si="3"/>
        <v>1382000</v>
      </c>
    </row>
    <row r="14" spans="1:42" x14ac:dyDescent="0.2">
      <c r="A14" s="37" t="s">
        <v>12</v>
      </c>
      <c r="B14" s="40"/>
      <c r="C14" s="40"/>
      <c r="D14" s="40"/>
      <c r="E14" s="72"/>
      <c r="F14" s="68">
        <f>VLOOKUP(A14,APR!$A$4:$K$99,11,0)</f>
        <v>0</v>
      </c>
      <c r="G14" s="72"/>
      <c r="H14" s="68">
        <f t="shared" si="5"/>
        <v>0</v>
      </c>
      <c r="I14" s="68">
        <f>VLOOKUP(A14,MAY!$A$4:$K$99,11,0)</f>
        <v>0</v>
      </c>
      <c r="J14" s="72">
        <v>2500000</v>
      </c>
      <c r="K14" s="68">
        <f t="shared" si="6"/>
        <v>2500000</v>
      </c>
      <c r="L14" s="68">
        <f>VLOOKUP(A14,JUN!$A$4:$K$99,11,0)</f>
        <v>991200</v>
      </c>
      <c r="M14" s="72"/>
      <c r="N14" s="68">
        <f t="shared" si="7"/>
        <v>1508800</v>
      </c>
      <c r="O14" s="68">
        <f>VLOOKUP(A14,JUL!$A$4:$K$99,11,0)</f>
        <v>184080</v>
      </c>
      <c r="P14" s="72"/>
      <c r="Q14" s="68">
        <f t="shared" si="8"/>
        <v>1324720</v>
      </c>
      <c r="R14" s="175">
        <f>VLOOKUP(A14,AUG!$A$4:$K$99,11,0)</f>
        <v>410345</v>
      </c>
      <c r="S14" s="72"/>
      <c r="T14" s="68">
        <f t="shared" si="9"/>
        <v>914375</v>
      </c>
      <c r="U14" s="72"/>
      <c r="V14" s="72"/>
      <c r="W14" s="68">
        <f t="shared" si="10"/>
        <v>914375</v>
      </c>
      <c r="X14" s="72"/>
      <c r="Y14" s="72"/>
      <c r="Z14" s="68">
        <f t="shared" si="11"/>
        <v>914375</v>
      </c>
      <c r="AA14" s="72"/>
      <c r="AB14" s="72"/>
      <c r="AC14" s="68">
        <f t="shared" si="12"/>
        <v>914375</v>
      </c>
      <c r="AD14" s="72"/>
      <c r="AE14" s="72"/>
      <c r="AF14" s="68">
        <f t="shared" si="13"/>
        <v>914375</v>
      </c>
      <c r="AG14" s="72"/>
      <c r="AH14" s="72"/>
      <c r="AI14" s="68">
        <f t="shared" si="14"/>
        <v>914375</v>
      </c>
      <c r="AJ14" s="72"/>
      <c r="AK14" s="72"/>
      <c r="AL14" s="68">
        <f t="shared" si="15"/>
        <v>914375</v>
      </c>
      <c r="AM14" s="73"/>
      <c r="AN14" s="74">
        <f t="shared" si="1"/>
        <v>2500000</v>
      </c>
      <c r="AO14" s="75">
        <f t="shared" si="2"/>
        <v>1585625</v>
      </c>
      <c r="AP14" s="74">
        <f t="shared" si="3"/>
        <v>914375</v>
      </c>
    </row>
    <row r="15" spans="1:42" x14ac:dyDescent="0.2">
      <c r="A15" s="38" t="s">
        <v>13</v>
      </c>
      <c r="B15" s="39">
        <v>724989</v>
      </c>
      <c r="C15" s="39">
        <v>29.55</v>
      </c>
      <c r="D15" s="39">
        <v>16</v>
      </c>
      <c r="E15" s="39">
        <f t="shared" ref="E15:AM15" si="16">SUM(E16:E16)</f>
        <v>3000000</v>
      </c>
      <c r="F15" s="39">
        <f t="shared" si="16"/>
        <v>0</v>
      </c>
      <c r="G15" s="39">
        <f t="shared" si="16"/>
        <v>3000000</v>
      </c>
      <c r="H15" s="39">
        <f t="shared" si="16"/>
        <v>6000000</v>
      </c>
      <c r="I15" s="39">
        <f t="shared" si="16"/>
        <v>0</v>
      </c>
      <c r="J15" s="39">
        <f t="shared" si="16"/>
        <v>3000000</v>
      </c>
      <c r="K15" s="39">
        <f t="shared" si="16"/>
        <v>9000000</v>
      </c>
      <c r="L15" s="39">
        <f t="shared" si="16"/>
        <v>0</v>
      </c>
      <c r="M15" s="39">
        <f t="shared" si="16"/>
        <v>3000000</v>
      </c>
      <c r="N15" s="39">
        <f t="shared" si="16"/>
        <v>12000000</v>
      </c>
      <c r="O15" s="39">
        <f t="shared" si="16"/>
        <v>0</v>
      </c>
      <c r="P15" s="39">
        <f t="shared" si="16"/>
        <v>3000000</v>
      </c>
      <c r="Q15" s="39">
        <f t="shared" si="16"/>
        <v>15000000</v>
      </c>
      <c r="R15" s="39">
        <f t="shared" si="16"/>
        <v>0</v>
      </c>
      <c r="S15" s="39">
        <f t="shared" si="16"/>
        <v>3000000</v>
      </c>
      <c r="T15" s="39">
        <f t="shared" si="16"/>
        <v>18000000</v>
      </c>
      <c r="U15" s="39">
        <f t="shared" si="16"/>
        <v>0</v>
      </c>
      <c r="V15" s="39">
        <f t="shared" si="16"/>
        <v>3000000</v>
      </c>
      <c r="W15" s="39">
        <f t="shared" si="16"/>
        <v>21000000</v>
      </c>
      <c r="X15" s="39">
        <f t="shared" si="16"/>
        <v>0</v>
      </c>
      <c r="Y15" s="39">
        <f t="shared" si="16"/>
        <v>3000000</v>
      </c>
      <c r="Z15" s="39">
        <f t="shared" si="16"/>
        <v>24000000</v>
      </c>
      <c r="AA15" s="39">
        <f t="shared" si="16"/>
        <v>0</v>
      </c>
      <c r="AB15" s="39">
        <f t="shared" si="16"/>
        <v>3000000</v>
      </c>
      <c r="AC15" s="39">
        <f t="shared" si="16"/>
        <v>27000000</v>
      </c>
      <c r="AD15" s="39">
        <f t="shared" si="16"/>
        <v>0</v>
      </c>
      <c r="AE15" s="39">
        <f t="shared" si="16"/>
        <v>3000000</v>
      </c>
      <c r="AF15" s="39">
        <f t="shared" si="16"/>
        <v>30000000</v>
      </c>
      <c r="AG15" s="39">
        <f t="shared" si="16"/>
        <v>0</v>
      </c>
      <c r="AH15" s="39">
        <f t="shared" si="16"/>
        <v>3000000</v>
      </c>
      <c r="AI15" s="39">
        <f t="shared" si="16"/>
        <v>33000000</v>
      </c>
      <c r="AJ15" s="39">
        <f t="shared" si="16"/>
        <v>0</v>
      </c>
      <c r="AK15" s="39">
        <f t="shared" si="16"/>
        <v>3000000</v>
      </c>
      <c r="AL15" s="39">
        <f t="shared" si="16"/>
        <v>36000000</v>
      </c>
      <c r="AM15" s="39">
        <f t="shared" si="16"/>
        <v>0</v>
      </c>
      <c r="AN15" s="51">
        <f t="shared" si="1"/>
        <v>36000000</v>
      </c>
      <c r="AO15" s="55">
        <f t="shared" si="2"/>
        <v>0</v>
      </c>
      <c r="AP15" s="51">
        <f t="shared" si="3"/>
        <v>36000000</v>
      </c>
    </row>
    <row r="16" spans="1:42" x14ac:dyDescent="0.2">
      <c r="A16" s="37" t="s">
        <v>14</v>
      </c>
      <c r="B16" s="40"/>
      <c r="C16" s="40"/>
      <c r="D16" s="40"/>
      <c r="E16" s="76">
        <v>3000000</v>
      </c>
      <c r="F16" s="68">
        <f>VLOOKUP(A16,APR!$A$4:$K$99,11,0)</f>
        <v>0</v>
      </c>
      <c r="G16" s="76">
        <v>3000000</v>
      </c>
      <c r="H16" s="68">
        <f>E16-F16+G16</f>
        <v>6000000</v>
      </c>
      <c r="I16" s="68">
        <f>VLOOKUP(A16,MAY!$A$4:$K$99,11,0)</f>
        <v>0</v>
      </c>
      <c r="J16" s="76">
        <v>3000000</v>
      </c>
      <c r="K16" s="68">
        <f>H16-I16+J16</f>
        <v>9000000</v>
      </c>
      <c r="L16" s="68">
        <f>VLOOKUP(A16,JUN!$A$4:$K$99,11,0)</f>
        <v>0</v>
      </c>
      <c r="M16" s="76">
        <v>3000000</v>
      </c>
      <c r="N16" s="68">
        <f>K16-L16+M16</f>
        <v>12000000</v>
      </c>
      <c r="O16" s="68">
        <f>VLOOKUP(A16,JUL!$A$4:$K$99,11,0)</f>
        <v>0</v>
      </c>
      <c r="P16" s="76">
        <v>3000000</v>
      </c>
      <c r="Q16" s="68">
        <f>N16-O16+P16</f>
        <v>15000000</v>
      </c>
      <c r="R16" s="175">
        <f>VLOOKUP(A16,AUG!$A$4:$K$99,11,0)</f>
        <v>0</v>
      </c>
      <c r="S16" s="76">
        <v>3000000</v>
      </c>
      <c r="T16" s="68">
        <f>Q16-R16+S16</f>
        <v>18000000</v>
      </c>
      <c r="U16" s="76"/>
      <c r="V16" s="76">
        <v>3000000</v>
      </c>
      <c r="W16" s="68">
        <f>T16-U16+V16</f>
        <v>21000000</v>
      </c>
      <c r="X16" s="76"/>
      <c r="Y16" s="76">
        <v>3000000</v>
      </c>
      <c r="Z16" s="68">
        <f>W16-X16+Y16</f>
        <v>24000000</v>
      </c>
      <c r="AA16" s="76"/>
      <c r="AB16" s="76">
        <v>3000000</v>
      </c>
      <c r="AC16" s="68">
        <f>Z16-AA16+AB16</f>
        <v>27000000</v>
      </c>
      <c r="AD16" s="76"/>
      <c r="AE16" s="76">
        <v>3000000</v>
      </c>
      <c r="AF16" s="68">
        <f>AC16-AD16+AE16</f>
        <v>30000000</v>
      </c>
      <c r="AG16" s="76"/>
      <c r="AH16" s="76">
        <v>3000000</v>
      </c>
      <c r="AI16" s="68">
        <f>AF16-AG16+AH16</f>
        <v>33000000</v>
      </c>
      <c r="AJ16" s="76"/>
      <c r="AK16" s="76">
        <v>3000000</v>
      </c>
      <c r="AL16" s="68">
        <f>AI16-AJ16+AK16</f>
        <v>36000000</v>
      </c>
      <c r="AM16" s="77"/>
      <c r="AN16" s="78">
        <f t="shared" si="1"/>
        <v>36000000</v>
      </c>
      <c r="AO16" s="79">
        <f t="shared" si="2"/>
        <v>0</v>
      </c>
      <c r="AP16" s="78">
        <f t="shared" si="3"/>
        <v>36000000</v>
      </c>
    </row>
    <row r="17" spans="1:42" x14ac:dyDescent="0.2">
      <c r="A17" s="38" t="s">
        <v>15</v>
      </c>
      <c r="B17" s="39"/>
      <c r="C17" s="39">
        <v>0</v>
      </c>
      <c r="D17" s="39">
        <v>16</v>
      </c>
      <c r="E17" s="39">
        <f t="shared" ref="E17:AM17" si="17">SUM(E18:E26)</f>
        <v>600000</v>
      </c>
      <c r="F17" s="39">
        <f t="shared" si="17"/>
        <v>0</v>
      </c>
      <c r="G17" s="39">
        <f t="shared" si="17"/>
        <v>0</v>
      </c>
      <c r="H17" s="39">
        <f t="shared" si="17"/>
        <v>600000</v>
      </c>
      <c r="I17" s="39">
        <f t="shared" si="17"/>
        <v>0</v>
      </c>
      <c r="J17" s="39">
        <f t="shared" si="17"/>
        <v>200000</v>
      </c>
      <c r="K17" s="39">
        <f t="shared" si="17"/>
        <v>800000</v>
      </c>
      <c r="L17" s="39">
        <f t="shared" si="17"/>
        <v>0</v>
      </c>
      <c r="M17" s="39">
        <f t="shared" si="17"/>
        <v>14692800</v>
      </c>
      <c r="N17" s="39">
        <f t="shared" si="17"/>
        <v>15492800</v>
      </c>
      <c r="O17" s="39">
        <f t="shared" si="17"/>
        <v>0</v>
      </c>
      <c r="P17" s="39">
        <f t="shared" si="17"/>
        <v>3492800</v>
      </c>
      <c r="Q17" s="39">
        <f t="shared" si="17"/>
        <v>18985600</v>
      </c>
      <c r="R17" s="39">
        <f t="shared" si="17"/>
        <v>0</v>
      </c>
      <c r="S17" s="39">
        <f t="shared" si="17"/>
        <v>3492800</v>
      </c>
      <c r="T17" s="39">
        <f t="shared" si="17"/>
        <v>22478400</v>
      </c>
      <c r="U17" s="39">
        <f t="shared" si="17"/>
        <v>0</v>
      </c>
      <c r="V17" s="39">
        <f t="shared" si="17"/>
        <v>600000</v>
      </c>
      <c r="W17" s="39">
        <f t="shared" si="17"/>
        <v>23078400</v>
      </c>
      <c r="X17" s="39">
        <f t="shared" si="17"/>
        <v>0</v>
      </c>
      <c r="Y17" s="39">
        <f t="shared" si="17"/>
        <v>0</v>
      </c>
      <c r="Z17" s="39">
        <f t="shared" si="17"/>
        <v>23078400</v>
      </c>
      <c r="AA17" s="39">
        <f t="shared" si="17"/>
        <v>0</v>
      </c>
      <c r="AB17" s="39">
        <f t="shared" si="17"/>
        <v>0</v>
      </c>
      <c r="AC17" s="39">
        <f t="shared" si="17"/>
        <v>23078400</v>
      </c>
      <c r="AD17" s="39">
        <f t="shared" si="17"/>
        <v>0</v>
      </c>
      <c r="AE17" s="39">
        <f t="shared" si="17"/>
        <v>600000</v>
      </c>
      <c r="AF17" s="39">
        <f t="shared" si="17"/>
        <v>23678400</v>
      </c>
      <c r="AG17" s="39">
        <f t="shared" si="17"/>
        <v>0</v>
      </c>
      <c r="AH17" s="39">
        <f t="shared" si="17"/>
        <v>0</v>
      </c>
      <c r="AI17" s="39">
        <f t="shared" si="17"/>
        <v>23678400</v>
      </c>
      <c r="AJ17" s="39">
        <f t="shared" si="17"/>
        <v>0</v>
      </c>
      <c r="AK17" s="39">
        <f t="shared" si="17"/>
        <v>0</v>
      </c>
      <c r="AL17" s="39">
        <f t="shared" si="17"/>
        <v>23678400</v>
      </c>
      <c r="AM17" s="39">
        <f t="shared" si="17"/>
        <v>0</v>
      </c>
      <c r="AN17" s="51">
        <f t="shared" si="1"/>
        <v>23678400</v>
      </c>
      <c r="AO17" s="55">
        <f t="shared" si="2"/>
        <v>0</v>
      </c>
      <c r="AP17" s="51">
        <f t="shared" si="3"/>
        <v>23678400</v>
      </c>
    </row>
    <row r="18" spans="1:42" x14ac:dyDescent="0.2">
      <c r="A18" s="37" t="s">
        <v>16</v>
      </c>
      <c r="B18" s="40"/>
      <c r="C18" s="40"/>
      <c r="D18" s="40"/>
      <c r="E18" s="76"/>
      <c r="F18" s="68">
        <f>VLOOKUP(A18,APR!$A$4:$K$99,11,0)</f>
        <v>0</v>
      </c>
      <c r="G18" s="76"/>
      <c r="H18" s="68">
        <f t="shared" ref="H18:H26" si="18">E18-F18+G18</f>
        <v>0</v>
      </c>
      <c r="I18" s="68">
        <f>VLOOKUP(A18,MAY!$A$4:$K$99,11,0)</f>
        <v>0</v>
      </c>
      <c r="J18" s="76">
        <v>200000</v>
      </c>
      <c r="K18" s="68">
        <f t="shared" ref="K18:K26" si="19">H18-I18+J18</f>
        <v>200000</v>
      </c>
      <c r="L18" s="68">
        <f>VLOOKUP(A18,JUN!$A$4:$K$99,11,0)</f>
        <v>0</v>
      </c>
      <c r="M18" s="76"/>
      <c r="N18" s="68">
        <f t="shared" ref="N18:N26" si="20">K18-L18+M18</f>
        <v>200000</v>
      </c>
      <c r="O18" s="68">
        <f>VLOOKUP(A18,JUL!$A$4:$K$99,11,0)</f>
        <v>0</v>
      </c>
      <c r="P18" s="76"/>
      <c r="Q18" s="68">
        <f t="shared" ref="Q18:Q26" si="21">N18-O18+P18</f>
        <v>200000</v>
      </c>
      <c r="R18" s="175">
        <f>VLOOKUP(A18,AUG!$A$4:$K$99,11,0)</f>
        <v>0</v>
      </c>
      <c r="S18" s="76"/>
      <c r="T18" s="68">
        <f t="shared" ref="T18:T26" si="22">Q18-R18+S18</f>
        <v>200000</v>
      </c>
      <c r="U18" s="76"/>
      <c r="V18" s="76"/>
      <c r="W18" s="68">
        <f t="shared" ref="W18:W26" si="23">T18-U18+V18</f>
        <v>200000</v>
      </c>
      <c r="X18" s="76"/>
      <c r="Y18" s="76"/>
      <c r="Z18" s="68">
        <f t="shared" ref="Z18:Z26" si="24">W18-X18+Y18</f>
        <v>200000</v>
      </c>
      <c r="AA18" s="76"/>
      <c r="AB18" s="76"/>
      <c r="AC18" s="68">
        <f t="shared" ref="AC18:AC26" si="25">Z18-AA18+AB18</f>
        <v>200000</v>
      </c>
      <c r="AD18" s="76"/>
      <c r="AE18" s="76"/>
      <c r="AF18" s="68">
        <f t="shared" ref="AF18:AF26" si="26">AC18-AD18+AE18</f>
        <v>200000</v>
      </c>
      <c r="AG18" s="76"/>
      <c r="AH18" s="76"/>
      <c r="AI18" s="68">
        <f t="shared" ref="AI18:AI26" si="27">AF18-AG18+AH18</f>
        <v>200000</v>
      </c>
      <c r="AJ18" s="76"/>
      <c r="AK18" s="76"/>
      <c r="AL18" s="68">
        <f t="shared" ref="AL18:AL26" si="28">AI18-AJ18+AK18</f>
        <v>200000</v>
      </c>
      <c r="AM18" s="77"/>
      <c r="AN18" s="78">
        <f t="shared" si="1"/>
        <v>200000</v>
      </c>
      <c r="AO18" s="79">
        <f t="shared" si="2"/>
        <v>0</v>
      </c>
      <c r="AP18" s="78">
        <f t="shared" si="3"/>
        <v>200000</v>
      </c>
    </row>
    <row r="19" spans="1:42" x14ac:dyDescent="0.2">
      <c r="A19" s="37" t="s">
        <v>17</v>
      </c>
      <c r="B19" s="40"/>
      <c r="C19" s="40"/>
      <c r="D19" s="40"/>
      <c r="E19" s="76"/>
      <c r="F19" s="68">
        <f>VLOOKUP(A19,APR!$A$4:$K$99,11,0)</f>
        <v>0</v>
      </c>
      <c r="G19" s="76"/>
      <c r="H19" s="68">
        <f t="shared" si="18"/>
        <v>0</v>
      </c>
      <c r="I19" s="68">
        <f>VLOOKUP(A19,MAY!$A$4:$K$99,11,0)</f>
        <v>0</v>
      </c>
      <c r="J19" s="76"/>
      <c r="K19" s="68">
        <f t="shared" si="19"/>
        <v>0</v>
      </c>
      <c r="L19" s="68">
        <f>VLOOKUP(A19,JUN!$A$4:$K$99,11,0)</f>
        <v>0</v>
      </c>
      <c r="M19" s="76">
        <v>6000000</v>
      </c>
      <c r="N19" s="68">
        <f t="shared" si="20"/>
        <v>6000000</v>
      </c>
      <c r="O19" s="68">
        <f>VLOOKUP(A19,JUL!$A$4:$K$99,11,0)</f>
        <v>0</v>
      </c>
      <c r="P19" s="76"/>
      <c r="Q19" s="68">
        <f t="shared" si="21"/>
        <v>6000000</v>
      </c>
      <c r="R19" s="175">
        <f>VLOOKUP(A19,AUG!$A$4:$K$99,11,0)</f>
        <v>0</v>
      </c>
      <c r="S19" s="76"/>
      <c r="T19" s="68">
        <f t="shared" si="22"/>
        <v>6000000</v>
      </c>
      <c r="U19" s="76"/>
      <c r="V19" s="76"/>
      <c r="W19" s="68">
        <f t="shared" si="23"/>
        <v>6000000</v>
      </c>
      <c r="X19" s="76"/>
      <c r="Y19" s="76"/>
      <c r="Z19" s="68">
        <f t="shared" si="24"/>
        <v>6000000</v>
      </c>
      <c r="AA19" s="76"/>
      <c r="AB19" s="76"/>
      <c r="AC19" s="68">
        <f t="shared" si="25"/>
        <v>6000000</v>
      </c>
      <c r="AD19" s="76"/>
      <c r="AE19" s="76"/>
      <c r="AF19" s="68">
        <f t="shared" si="26"/>
        <v>6000000</v>
      </c>
      <c r="AG19" s="76"/>
      <c r="AH19" s="76"/>
      <c r="AI19" s="68">
        <f t="shared" si="27"/>
        <v>6000000</v>
      </c>
      <c r="AJ19" s="76"/>
      <c r="AK19" s="76"/>
      <c r="AL19" s="68">
        <f t="shared" si="28"/>
        <v>6000000</v>
      </c>
      <c r="AM19" s="77"/>
      <c r="AN19" s="78">
        <f t="shared" si="1"/>
        <v>6000000</v>
      </c>
      <c r="AO19" s="79">
        <f t="shared" si="2"/>
        <v>0</v>
      </c>
      <c r="AP19" s="78">
        <f t="shared" si="3"/>
        <v>6000000</v>
      </c>
    </row>
    <row r="20" spans="1:42" x14ac:dyDescent="0.2">
      <c r="A20" s="37" t="s">
        <v>18</v>
      </c>
      <c r="B20" s="40"/>
      <c r="C20" s="40"/>
      <c r="D20" s="40"/>
      <c r="E20" s="76"/>
      <c r="F20" s="68">
        <f>VLOOKUP(A20,APR!$A$4:$K$99,11,0)</f>
        <v>0</v>
      </c>
      <c r="G20" s="76"/>
      <c r="H20" s="68">
        <f t="shared" si="18"/>
        <v>0</v>
      </c>
      <c r="I20" s="68">
        <f>VLOOKUP(A20,MAY!$A$4:$K$99,11,0)</f>
        <v>0</v>
      </c>
      <c r="J20" s="76"/>
      <c r="K20" s="68">
        <f t="shared" si="19"/>
        <v>0</v>
      </c>
      <c r="L20" s="68">
        <f>VLOOKUP(A20,JUN!$A$4:$K$99,11,0)</f>
        <v>0</v>
      </c>
      <c r="M20" s="76">
        <v>4000000</v>
      </c>
      <c r="N20" s="68">
        <f t="shared" si="20"/>
        <v>4000000</v>
      </c>
      <c r="O20" s="68">
        <f>VLOOKUP(A20,JUL!$A$4:$K$99,11,0)</f>
        <v>0</v>
      </c>
      <c r="P20" s="76"/>
      <c r="Q20" s="68">
        <f t="shared" si="21"/>
        <v>4000000</v>
      </c>
      <c r="R20" s="175">
        <f>VLOOKUP(A20,AUG!$A$4:$K$99,11,0)</f>
        <v>0</v>
      </c>
      <c r="S20" s="76"/>
      <c r="T20" s="68">
        <f t="shared" si="22"/>
        <v>4000000</v>
      </c>
      <c r="U20" s="76"/>
      <c r="V20" s="76"/>
      <c r="W20" s="68">
        <f t="shared" si="23"/>
        <v>4000000</v>
      </c>
      <c r="X20" s="76"/>
      <c r="Y20" s="76"/>
      <c r="Z20" s="68">
        <f t="shared" si="24"/>
        <v>4000000</v>
      </c>
      <c r="AA20" s="76"/>
      <c r="AB20" s="76"/>
      <c r="AC20" s="68">
        <f t="shared" si="25"/>
        <v>4000000</v>
      </c>
      <c r="AD20" s="76"/>
      <c r="AE20" s="76"/>
      <c r="AF20" s="68">
        <f t="shared" si="26"/>
        <v>4000000</v>
      </c>
      <c r="AG20" s="76"/>
      <c r="AH20" s="76"/>
      <c r="AI20" s="68">
        <f t="shared" si="27"/>
        <v>4000000</v>
      </c>
      <c r="AJ20" s="76"/>
      <c r="AK20" s="76"/>
      <c r="AL20" s="68">
        <f t="shared" si="28"/>
        <v>4000000</v>
      </c>
      <c r="AM20" s="77"/>
      <c r="AN20" s="78">
        <f t="shared" si="1"/>
        <v>4000000</v>
      </c>
      <c r="AO20" s="79">
        <f t="shared" si="2"/>
        <v>0</v>
      </c>
      <c r="AP20" s="78">
        <f t="shared" si="3"/>
        <v>4000000</v>
      </c>
    </row>
    <row r="21" spans="1:42" x14ac:dyDescent="0.2">
      <c r="A21" s="37" t="s">
        <v>19</v>
      </c>
      <c r="B21" s="40"/>
      <c r="C21" s="40"/>
      <c r="D21" s="40"/>
      <c r="E21" s="76"/>
      <c r="F21" s="68">
        <f>VLOOKUP(A21,APR!$A$4:$K$99,11,0)</f>
        <v>0</v>
      </c>
      <c r="G21" s="76"/>
      <c r="H21" s="68">
        <f t="shared" si="18"/>
        <v>0</v>
      </c>
      <c r="I21" s="68">
        <f>VLOOKUP(A21,MAY!$A$4:$K$99,11,0)</f>
        <v>0</v>
      </c>
      <c r="J21" s="76"/>
      <c r="K21" s="68">
        <f t="shared" si="19"/>
        <v>0</v>
      </c>
      <c r="L21" s="68">
        <f>VLOOKUP(A21,JUN!$A$4:$K$99,11,0)</f>
        <v>0</v>
      </c>
      <c r="M21" s="76">
        <v>600000</v>
      </c>
      <c r="N21" s="68">
        <f t="shared" si="20"/>
        <v>600000</v>
      </c>
      <c r="O21" s="68">
        <f>VLOOKUP(A21,JUL!$A$4:$K$99,11,0)</f>
        <v>0</v>
      </c>
      <c r="P21" s="76"/>
      <c r="Q21" s="68">
        <f t="shared" si="21"/>
        <v>600000</v>
      </c>
      <c r="R21" s="175">
        <f>VLOOKUP(A21,AUG!$A$4:$K$99,11,0)</f>
        <v>0</v>
      </c>
      <c r="S21" s="76"/>
      <c r="T21" s="68">
        <f t="shared" si="22"/>
        <v>600000</v>
      </c>
      <c r="U21" s="76"/>
      <c r="V21" s="76"/>
      <c r="W21" s="68">
        <f t="shared" si="23"/>
        <v>600000</v>
      </c>
      <c r="X21" s="76"/>
      <c r="Y21" s="76"/>
      <c r="Z21" s="68">
        <f t="shared" si="24"/>
        <v>600000</v>
      </c>
      <c r="AA21" s="76"/>
      <c r="AB21" s="76"/>
      <c r="AC21" s="68">
        <f t="shared" si="25"/>
        <v>600000</v>
      </c>
      <c r="AD21" s="76"/>
      <c r="AE21" s="76"/>
      <c r="AF21" s="68">
        <f t="shared" si="26"/>
        <v>600000</v>
      </c>
      <c r="AG21" s="76"/>
      <c r="AH21" s="76"/>
      <c r="AI21" s="68">
        <f t="shared" si="27"/>
        <v>600000</v>
      </c>
      <c r="AJ21" s="76"/>
      <c r="AK21" s="76"/>
      <c r="AL21" s="68">
        <f t="shared" si="28"/>
        <v>600000</v>
      </c>
      <c r="AM21" s="77"/>
      <c r="AN21" s="78">
        <f t="shared" si="1"/>
        <v>600000</v>
      </c>
      <c r="AO21" s="79">
        <f t="shared" si="2"/>
        <v>0</v>
      </c>
      <c r="AP21" s="78">
        <f t="shared" si="3"/>
        <v>600000</v>
      </c>
    </row>
    <row r="22" spans="1:42" x14ac:dyDescent="0.2">
      <c r="A22" s="41" t="s">
        <v>20</v>
      </c>
      <c r="B22" s="40"/>
      <c r="C22" s="40"/>
      <c r="D22" s="40"/>
      <c r="E22" s="76"/>
      <c r="F22" s="68">
        <f>VLOOKUP(A22,APR!$A$4:$K$99,11,0)</f>
        <v>0</v>
      </c>
      <c r="G22" s="76"/>
      <c r="H22" s="68">
        <f t="shared" si="18"/>
        <v>0</v>
      </c>
      <c r="I22" s="68">
        <f>VLOOKUP(A22,MAY!$A$4:$K$99,11,0)</f>
        <v>0</v>
      </c>
      <c r="J22" s="76"/>
      <c r="K22" s="68">
        <f t="shared" si="19"/>
        <v>0</v>
      </c>
      <c r="L22" s="68">
        <f>VLOOKUP(A22,JUN!$A$4:$K$99,11,0)</f>
        <v>0</v>
      </c>
      <c r="M22" s="76">
        <v>188800</v>
      </c>
      <c r="N22" s="68">
        <f t="shared" si="20"/>
        <v>188800</v>
      </c>
      <c r="O22" s="68">
        <f>VLOOKUP(A22,JUL!$A$4:$K$99,11,0)</f>
        <v>0</v>
      </c>
      <c r="P22" s="76">
        <v>188800</v>
      </c>
      <c r="Q22" s="68">
        <f t="shared" si="21"/>
        <v>377600</v>
      </c>
      <c r="R22" s="175">
        <f>VLOOKUP(A22,AUG!$A$4:$K$99,11,0)</f>
        <v>0</v>
      </c>
      <c r="S22" s="76">
        <v>188800</v>
      </c>
      <c r="T22" s="68">
        <f t="shared" si="22"/>
        <v>566400</v>
      </c>
      <c r="U22" s="76"/>
      <c r="V22" s="76"/>
      <c r="W22" s="68">
        <f t="shared" si="23"/>
        <v>566400</v>
      </c>
      <c r="X22" s="76"/>
      <c r="Y22" s="76"/>
      <c r="Z22" s="68">
        <f t="shared" si="24"/>
        <v>566400</v>
      </c>
      <c r="AA22" s="76"/>
      <c r="AB22" s="76"/>
      <c r="AC22" s="68">
        <f t="shared" si="25"/>
        <v>566400</v>
      </c>
      <c r="AD22" s="76"/>
      <c r="AE22" s="76"/>
      <c r="AF22" s="68">
        <f t="shared" si="26"/>
        <v>566400</v>
      </c>
      <c r="AG22" s="76"/>
      <c r="AH22" s="76"/>
      <c r="AI22" s="68">
        <f t="shared" si="27"/>
        <v>566400</v>
      </c>
      <c r="AJ22" s="76"/>
      <c r="AK22" s="76"/>
      <c r="AL22" s="68">
        <f t="shared" si="28"/>
        <v>566400</v>
      </c>
      <c r="AM22" s="77"/>
      <c r="AN22" s="78">
        <f t="shared" si="1"/>
        <v>566400</v>
      </c>
      <c r="AO22" s="79">
        <f t="shared" si="2"/>
        <v>0</v>
      </c>
      <c r="AP22" s="78">
        <f t="shared" si="3"/>
        <v>566400</v>
      </c>
    </row>
    <row r="23" spans="1:42" x14ac:dyDescent="0.2">
      <c r="A23" s="41" t="s">
        <v>21</v>
      </c>
      <c r="B23" s="40"/>
      <c r="C23" s="40"/>
      <c r="D23" s="40"/>
      <c r="E23" s="76"/>
      <c r="F23" s="68">
        <f>VLOOKUP(A23,APR!$A$4:$K$99,11,0)</f>
        <v>0</v>
      </c>
      <c r="G23" s="76"/>
      <c r="H23" s="68">
        <f t="shared" si="18"/>
        <v>0</v>
      </c>
      <c r="I23" s="68">
        <f>VLOOKUP(A23,MAY!$A$4:$K$99,11,0)</f>
        <v>0</v>
      </c>
      <c r="J23" s="76"/>
      <c r="K23" s="68">
        <f t="shared" si="19"/>
        <v>0</v>
      </c>
      <c r="L23" s="68">
        <f>VLOOKUP(A23,JUN!$A$4:$K$99,11,0)</f>
        <v>0</v>
      </c>
      <c r="M23" s="76">
        <v>767000</v>
      </c>
      <c r="N23" s="68">
        <f t="shared" si="20"/>
        <v>767000</v>
      </c>
      <c r="O23" s="68">
        <f>VLOOKUP(A23,JUL!$A$4:$K$99,11,0)</f>
        <v>0</v>
      </c>
      <c r="P23" s="76">
        <v>767000</v>
      </c>
      <c r="Q23" s="68">
        <f t="shared" si="21"/>
        <v>1534000</v>
      </c>
      <c r="R23" s="175">
        <f>VLOOKUP(A23,AUG!$A$4:$K$99,11,0)</f>
        <v>0</v>
      </c>
      <c r="S23" s="76">
        <v>767000</v>
      </c>
      <c r="T23" s="68">
        <f t="shared" si="22"/>
        <v>2301000</v>
      </c>
      <c r="U23" s="76"/>
      <c r="V23" s="76"/>
      <c r="W23" s="68">
        <f t="shared" si="23"/>
        <v>2301000</v>
      </c>
      <c r="X23" s="76"/>
      <c r="Y23" s="76"/>
      <c r="Z23" s="68">
        <f t="shared" si="24"/>
        <v>2301000</v>
      </c>
      <c r="AA23" s="76"/>
      <c r="AB23" s="76"/>
      <c r="AC23" s="68">
        <f t="shared" si="25"/>
        <v>2301000</v>
      </c>
      <c r="AD23" s="76"/>
      <c r="AE23" s="76"/>
      <c r="AF23" s="68">
        <f t="shared" si="26"/>
        <v>2301000</v>
      </c>
      <c r="AG23" s="76"/>
      <c r="AH23" s="76"/>
      <c r="AI23" s="68">
        <f t="shared" si="27"/>
        <v>2301000</v>
      </c>
      <c r="AJ23" s="76"/>
      <c r="AK23" s="76"/>
      <c r="AL23" s="68">
        <f t="shared" si="28"/>
        <v>2301000</v>
      </c>
      <c r="AM23" s="77"/>
      <c r="AN23" s="78">
        <f t="shared" si="1"/>
        <v>2301000</v>
      </c>
      <c r="AO23" s="79">
        <f t="shared" si="2"/>
        <v>0</v>
      </c>
      <c r="AP23" s="78">
        <f t="shared" si="3"/>
        <v>2301000</v>
      </c>
    </row>
    <row r="24" spans="1:42" x14ac:dyDescent="0.2">
      <c r="A24" s="41" t="s">
        <v>22</v>
      </c>
      <c r="B24" s="40"/>
      <c r="C24" s="40"/>
      <c r="D24" s="40"/>
      <c r="E24" s="76"/>
      <c r="F24" s="68">
        <f>VLOOKUP(A24,APR!$A$4:$K$99,11,0)</f>
        <v>0</v>
      </c>
      <c r="G24" s="76"/>
      <c r="H24" s="68">
        <f t="shared" si="18"/>
        <v>0</v>
      </c>
      <c r="I24" s="68">
        <f>VLOOKUP(A24,MAY!$A$4:$K$99,11,0)</f>
        <v>0</v>
      </c>
      <c r="J24" s="76"/>
      <c r="K24" s="68">
        <f t="shared" si="19"/>
        <v>0</v>
      </c>
      <c r="L24" s="68">
        <f>VLOOKUP(A24,JUN!$A$4:$K$99,11,0)</f>
        <v>0</v>
      </c>
      <c r="M24" s="76">
        <v>177000</v>
      </c>
      <c r="N24" s="68">
        <f t="shared" si="20"/>
        <v>177000</v>
      </c>
      <c r="O24" s="68">
        <f>VLOOKUP(A24,JUL!$A$4:$K$99,11,0)</f>
        <v>0</v>
      </c>
      <c r="P24" s="76">
        <v>177000</v>
      </c>
      <c r="Q24" s="68">
        <f t="shared" si="21"/>
        <v>354000</v>
      </c>
      <c r="R24" s="175">
        <f>VLOOKUP(A24,AUG!$A$4:$K$99,11,0)</f>
        <v>0</v>
      </c>
      <c r="S24" s="76">
        <v>177000</v>
      </c>
      <c r="T24" s="68">
        <f t="shared" si="22"/>
        <v>531000</v>
      </c>
      <c r="U24" s="76"/>
      <c r="V24" s="76"/>
      <c r="W24" s="68">
        <f t="shared" si="23"/>
        <v>531000</v>
      </c>
      <c r="X24" s="76"/>
      <c r="Y24" s="76"/>
      <c r="Z24" s="68">
        <f t="shared" si="24"/>
        <v>531000</v>
      </c>
      <c r="AA24" s="76"/>
      <c r="AB24" s="76"/>
      <c r="AC24" s="68">
        <f t="shared" si="25"/>
        <v>531000</v>
      </c>
      <c r="AD24" s="76"/>
      <c r="AE24" s="76"/>
      <c r="AF24" s="68">
        <f t="shared" si="26"/>
        <v>531000</v>
      </c>
      <c r="AG24" s="76"/>
      <c r="AH24" s="76"/>
      <c r="AI24" s="68">
        <f t="shared" si="27"/>
        <v>531000</v>
      </c>
      <c r="AJ24" s="76"/>
      <c r="AK24" s="76"/>
      <c r="AL24" s="68">
        <f t="shared" si="28"/>
        <v>531000</v>
      </c>
      <c r="AM24" s="77"/>
      <c r="AN24" s="78">
        <f t="shared" si="1"/>
        <v>531000</v>
      </c>
      <c r="AO24" s="79">
        <f t="shared" si="2"/>
        <v>0</v>
      </c>
      <c r="AP24" s="78">
        <f t="shared" si="3"/>
        <v>531000</v>
      </c>
    </row>
    <row r="25" spans="1:42" x14ac:dyDescent="0.2">
      <c r="A25" s="41" t="s">
        <v>23</v>
      </c>
      <c r="B25" s="40"/>
      <c r="C25" s="40"/>
      <c r="D25" s="40"/>
      <c r="E25" s="76"/>
      <c r="F25" s="68">
        <f>VLOOKUP(A25,APR!$A$4:$K$99,11,0)</f>
        <v>0</v>
      </c>
      <c r="G25" s="76"/>
      <c r="H25" s="68">
        <f t="shared" si="18"/>
        <v>0</v>
      </c>
      <c r="I25" s="68">
        <f>VLOOKUP(A25,MAY!$A$4:$K$99,11,0)</f>
        <v>0</v>
      </c>
      <c r="J25" s="76"/>
      <c r="K25" s="68">
        <f t="shared" si="19"/>
        <v>0</v>
      </c>
      <c r="L25" s="68">
        <f>VLOOKUP(A25,JUN!$A$4:$K$99,11,0)</f>
        <v>0</v>
      </c>
      <c r="M25" s="76">
        <v>2360000</v>
      </c>
      <c r="N25" s="68">
        <f t="shared" si="20"/>
        <v>2360000</v>
      </c>
      <c r="O25" s="68">
        <f>VLOOKUP(A25,JUL!$A$4:$K$99,11,0)</f>
        <v>0</v>
      </c>
      <c r="P25" s="76">
        <v>2360000</v>
      </c>
      <c r="Q25" s="68">
        <f t="shared" si="21"/>
        <v>4720000</v>
      </c>
      <c r="R25" s="175">
        <f>VLOOKUP(A25,AUG!$A$4:$K$99,11,0)</f>
        <v>0</v>
      </c>
      <c r="S25" s="76">
        <v>2360000</v>
      </c>
      <c r="T25" s="68">
        <f t="shared" si="22"/>
        <v>7080000</v>
      </c>
      <c r="U25" s="76"/>
      <c r="V25" s="76"/>
      <c r="W25" s="68">
        <f t="shared" si="23"/>
        <v>7080000</v>
      </c>
      <c r="X25" s="76"/>
      <c r="Y25" s="76"/>
      <c r="Z25" s="68">
        <f t="shared" si="24"/>
        <v>7080000</v>
      </c>
      <c r="AA25" s="76"/>
      <c r="AB25" s="76"/>
      <c r="AC25" s="68">
        <f t="shared" si="25"/>
        <v>7080000</v>
      </c>
      <c r="AD25" s="76"/>
      <c r="AE25" s="76"/>
      <c r="AF25" s="68">
        <f t="shared" si="26"/>
        <v>7080000</v>
      </c>
      <c r="AG25" s="76"/>
      <c r="AH25" s="76"/>
      <c r="AI25" s="68">
        <f t="shared" si="27"/>
        <v>7080000</v>
      </c>
      <c r="AJ25" s="76"/>
      <c r="AK25" s="76"/>
      <c r="AL25" s="68">
        <f t="shared" si="28"/>
        <v>7080000</v>
      </c>
      <c r="AM25" s="77"/>
      <c r="AN25" s="78">
        <f t="shared" si="1"/>
        <v>7080000</v>
      </c>
      <c r="AO25" s="79">
        <f t="shared" si="2"/>
        <v>0</v>
      </c>
      <c r="AP25" s="78">
        <f t="shared" si="3"/>
        <v>7080000</v>
      </c>
    </row>
    <row r="26" spans="1:42" x14ac:dyDescent="0.2">
      <c r="A26" s="37" t="s">
        <v>24</v>
      </c>
      <c r="B26" s="40"/>
      <c r="C26" s="40"/>
      <c r="D26" s="40"/>
      <c r="E26" s="76">
        <v>600000</v>
      </c>
      <c r="F26" s="68">
        <f>VLOOKUP(A26,APR!$A$4:$K$99,11,0)</f>
        <v>0</v>
      </c>
      <c r="G26" s="76"/>
      <c r="H26" s="68">
        <f t="shared" si="18"/>
        <v>600000</v>
      </c>
      <c r="I26" s="68">
        <f>VLOOKUP(A26,MAY!$A$4:$K$99,11,0)</f>
        <v>0</v>
      </c>
      <c r="J26" s="76"/>
      <c r="K26" s="68">
        <f t="shared" si="19"/>
        <v>600000</v>
      </c>
      <c r="L26" s="68">
        <f>VLOOKUP(A26,JUN!$A$4:$K$99,11,0)</f>
        <v>0</v>
      </c>
      <c r="M26" s="76">
        <v>600000</v>
      </c>
      <c r="N26" s="68">
        <f t="shared" si="20"/>
        <v>1200000</v>
      </c>
      <c r="O26" s="68">
        <f>VLOOKUP(A26,JUL!$A$4:$K$99,11,0)</f>
        <v>0</v>
      </c>
      <c r="P26" s="76"/>
      <c r="Q26" s="68">
        <f t="shared" si="21"/>
        <v>1200000</v>
      </c>
      <c r="R26" s="175">
        <f>VLOOKUP(A26,AUG!$A$4:$K$99,11,0)</f>
        <v>0</v>
      </c>
      <c r="S26" s="76"/>
      <c r="T26" s="68">
        <f t="shared" si="22"/>
        <v>1200000</v>
      </c>
      <c r="U26" s="76"/>
      <c r="V26" s="76">
        <v>600000</v>
      </c>
      <c r="W26" s="68">
        <f t="shared" si="23"/>
        <v>1800000</v>
      </c>
      <c r="X26" s="76"/>
      <c r="Y26" s="76"/>
      <c r="Z26" s="68">
        <f t="shared" si="24"/>
        <v>1800000</v>
      </c>
      <c r="AA26" s="76"/>
      <c r="AB26" s="76"/>
      <c r="AC26" s="68">
        <f t="shared" si="25"/>
        <v>1800000</v>
      </c>
      <c r="AD26" s="76"/>
      <c r="AE26" s="76">
        <v>600000</v>
      </c>
      <c r="AF26" s="68">
        <f t="shared" si="26"/>
        <v>2400000</v>
      </c>
      <c r="AG26" s="76"/>
      <c r="AH26" s="76"/>
      <c r="AI26" s="68">
        <f t="shared" si="27"/>
        <v>2400000</v>
      </c>
      <c r="AJ26" s="76"/>
      <c r="AK26" s="76"/>
      <c r="AL26" s="68">
        <f t="shared" si="28"/>
        <v>2400000</v>
      </c>
      <c r="AM26" s="77"/>
      <c r="AN26" s="78">
        <f t="shared" si="1"/>
        <v>2400000</v>
      </c>
      <c r="AO26" s="79">
        <f t="shared" si="2"/>
        <v>0</v>
      </c>
      <c r="AP26" s="78">
        <f t="shared" si="3"/>
        <v>2400000</v>
      </c>
    </row>
    <row r="27" spans="1:42" x14ac:dyDescent="0.2">
      <c r="A27" s="38" t="s">
        <v>25</v>
      </c>
      <c r="B27" s="39">
        <v>24017</v>
      </c>
      <c r="C27" s="39">
        <v>0.9</v>
      </c>
      <c r="D27" s="39">
        <v>1</v>
      </c>
      <c r="E27" s="39">
        <f t="shared" ref="E27:AM27" si="29">SUM(E28:E33)</f>
        <v>0</v>
      </c>
      <c r="F27" s="39">
        <f t="shared" si="29"/>
        <v>0</v>
      </c>
      <c r="G27" s="39">
        <f t="shared" si="29"/>
        <v>0</v>
      </c>
      <c r="H27" s="39">
        <f t="shared" si="29"/>
        <v>0</v>
      </c>
      <c r="I27" s="39">
        <f t="shared" si="29"/>
        <v>10034310.1</v>
      </c>
      <c r="J27" s="39">
        <f t="shared" si="29"/>
        <v>0</v>
      </c>
      <c r="K27" s="39">
        <f t="shared" si="29"/>
        <v>-10034310.1</v>
      </c>
      <c r="L27" s="39">
        <f t="shared" si="29"/>
        <v>334766</v>
      </c>
      <c r="M27" s="39">
        <f t="shared" si="29"/>
        <v>4550000</v>
      </c>
      <c r="N27" s="39">
        <f t="shared" si="29"/>
        <v>-5819076.0999999996</v>
      </c>
      <c r="O27" s="39">
        <f t="shared" si="29"/>
        <v>0</v>
      </c>
      <c r="P27" s="39">
        <f t="shared" si="29"/>
        <v>600000</v>
      </c>
      <c r="Q27" s="39">
        <f t="shared" si="29"/>
        <v>-5219076.0999999996</v>
      </c>
      <c r="R27" s="39">
        <f t="shared" si="29"/>
        <v>8744</v>
      </c>
      <c r="S27" s="39">
        <f t="shared" si="29"/>
        <v>0</v>
      </c>
      <c r="T27" s="39">
        <f t="shared" si="29"/>
        <v>-5227820.0999999996</v>
      </c>
      <c r="U27" s="39">
        <f t="shared" si="29"/>
        <v>0</v>
      </c>
      <c r="V27" s="39">
        <f t="shared" si="29"/>
        <v>550000</v>
      </c>
      <c r="W27" s="39">
        <f t="shared" si="29"/>
        <v>-4677820.0999999996</v>
      </c>
      <c r="X27" s="39">
        <f t="shared" si="29"/>
        <v>0</v>
      </c>
      <c r="Y27" s="39">
        <f t="shared" si="29"/>
        <v>0</v>
      </c>
      <c r="Z27" s="39">
        <f t="shared" si="29"/>
        <v>-4677820.0999999996</v>
      </c>
      <c r="AA27" s="39">
        <f t="shared" si="29"/>
        <v>0</v>
      </c>
      <c r="AB27" s="39">
        <f t="shared" si="29"/>
        <v>0</v>
      </c>
      <c r="AC27" s="39">
        <f t="shared" si="29"/>
        <v>-4677820.0999999996</v>
      </c>
      <c r="AD27" s="39">
        <f t="shared" si="29"/>
        <v>0</v>
      </c>
      <c r="AE27" s="39">
        <f t="shared" si="29"/>
        <v>250000</v>
      </c>
      <c r="AF27" s="39">
        <f t="shared" si="29"/>
        <v>-4427820.0999999996</v>
      </c>
      <c r="AG27" s="39">
        <f t="shared" si="29"/>
        <v>0</v>
      </c>
      <c r="AH27" s="39">
        <f t="shared" si="29"/>
        <v>0</v>
      </c>
      <c r="AI27" s="39">
        <f t="shared" si="29"/>
        <v>-4427820.0999999996</v>
      </c>
      <c r="AJ27" s="39">
        <f t="shared" si="29"/>
        <v>0</v>
      </c>
      <c r="AK27" s="39">
        <f t="shared" si="29"/>
        <v>200000</v>
      </c>
      <c r="AL27" s="39">
        <f t="shared" si="29"/>
        <v>-4227820.0999999996</v>
      </c>
      <c r="AM27" s="39">
        <f t="shared" si="29"/>
        <v>0</v>
      </c>
      <c r="AN27" s="51">
        <f t="shared" si="1"/>
        <v>6150000</v>
      </c>
      <c r="AO27" s="55">
        <f t="shared" si="2"/>
        <v>10377820.1</v>
      </c>
      <c r="AP27" s="51">
        <f t="shared" si="3"/>
        <v>-4227820.0999999996</v>
      </c>
    </row>
    <row r="28" spans="1:42" x14ac:dyDescent="0.2">
      <c r="A28" s="37" t="s">
        <v>26</v>
      </c>
      <c r="B28" s="40"/>
      <c r="C28" s="40"/>
      <c r="D28" s="40"/>
      <c r="E28" s="80"/>
      <c r="F28" s="68">
        <f>VLOOKUP(A28,APR!$A$4:$K$99,11,0)</f>
        <v>0</v>
      </c>
      <c r="G28" s="81"/>
      <c r="H28" s="68">
        <f t="shared" ref="H28:H33" si="30">E28-F28+G28</f>
        <v>0</v>
      </c>
      <c r="I28" s="68">
        <f>VLOOKUP(A28,MAY!$A$4:$K$99,11,0)</f>
        <v>10034310.1</v>
      </c>
      <c r="J28" s="80"/>
      <c r="K28" s="68">
        <f t="shared" ref="K28:K33" si="31">H28-I28+J28</f>
        <v>-10034310.1</v>
      </c>
      <c r="L28" s="68">
        <f>VLOOKUP(A28,JUN!$A$4:$K$99,11,0)</f>
        <v>0</v>
      </c>
      <c r="M28" s="82">
        <f>4000000</f>
        <v>4000000</v>
      </c>
      <c r="N28" s="68">
        <f t="shared" ref="N28:N33" si="32">K28-L28+M28</f>
        <v>-6034310.0999999996</v>
      </c>
      <c r="O28" s="68">
        <f>VLOOKUP(A28,JUL!$A$4:$K$99,11,0)</f>
        <v>0</v>
      </c>
      <c r="P28" s="83"/>
      <c r="Q28" s="68">
        <f t="shared" ref="Q28:Q33" si="33">N28-O28+P28</f>
        <v>-6034310.0999999996</v>
      </c>
      <c r="R28" s="175">
        <f>VLOOKUP(A28,AUG!$A$4:$K$99,11,0)</f>
        <v>0</v>
      </c>
      <c r="S28" s="76"/>
      <c r="T28" s="68">
        <f t="shared" ref="T28:T33" si="34">Q28-R28+S28</f>
        <v>-6034310.0999999996</v>
      </c>
      <c r="U28" s="76"/>
      <c r="V28" s="76"/>
      <c r="W28" s="68">
        <f t="shared" ref="W28:W33" si="35">T28-U28+V28</f>
        <v>-6034310.0999999996</v>
      </c>
      <c r="X28" s="76"/>
      <c r="Y28" s="76"/>
      <c r="Z28" s="68">
        <f t="shared" ref="Z28:Z33" si="36">W28-X28+Y28</f>
        <v>-6034310.0999999996</v>
      </c>
      <c r="AA28" s="76"/>
      <c r="AB28" s="76"/>
      <c r="AC28" s="68">
        <f t="shared" ref="AC28:AC33" si="37">Z28-AA28+AB28</f>
        <v>-6034310.0999999996</v>
      </c>
      <c r="AD28" s="76"/>
      <c r="AE28" s="82"/>
      <c r="AF28" s="68">
        <f t="shared" ref="AF28:AF33" si="38">AC28-AD28+AE28</f>
        <v>-6034310.0999999996</v>
      </c>
      <c r="AG28" s="82"/>
      <c r="AH28" s="76"/>
      <c r="AI28" s="68">
        <f t="shared" ref="AI28:AI33" si="39">AF28-AG28+AH28</f>
        <v>-6034310.0999999996</v>
      </c>
      <c r="AJ28" s="76"/>
      <c r="AK28" s="76"/>
      <c r="AL28" s="68">
        <f t="shared" ref="AL28:AL33" si="40">AI28-AJ28+AK28</f>
        <v>-6034310.0999999996</v>
      </c>
      <c r="AM28" s="77"/>
      <c r="AN28" s="78">
        <f t="shared" si="1"/>
        <v>4000000</v>
      </c>
      <c r="AO28" s="79">
        <f t="shared" si="2"/>
        <v>10034310.1</v>
      </c>
      <c r="AP28" s="78">
        <f t="shared" si="3"/>
        <v>-6034310.0999999996</v>
      </c>
    </row>
    <row r="29" spans="1:42" x14ac:dyDescent="0.2">
      <c r="A29" s="37" t="s">
        <v>27</v>
      </c>
      <c r="B29" s="40"/>
      <c r="C29" s="40"/>
      <c r="D29" s="40"/>
      <c r="E29" s="81"/>
      <c r="F29" s="68">
        <f>VLOOKUP(A29,APR!$A$4:$K$99,11,0)</f>
        <v>0</v>
      </c>
      <c r="G29" s="81"/>
      <c r="H29" s="68">
        <f t="shared" si="30"/>
        <v>0</v>
      </c>
      <c r="I29" s="68">
        <f>VLOOKUP(A29,MAY!$A$4:$K$99,11,0)</f>
        <v>0</v>
      </c>
      <c r="J29" s="80"/>
      <c r="K29" s="68">
        <f t="shared" si="31"/>
        <v>0</v>
      </c>
      <c r="L29" s="68">
        <f>VLOOKUP(A29,JUN!$A$4:$K$99,11,0)</f>
        <v>0</v>
      </c>
      <c r="M29" s="81">
        <v>100000</v>
      </c>
      <c r="N29" s="68">
        <f t="shared" si="32"/>
        <v>100000</v>
      </c>
      <c r="O29" s="68">
        <f>VLOOKUP(A29,JUL!$A$4:$K$99,11,0)</f>
        <v>0</v>
      </c>
      <c r="P29" s="76"/>
      <c r="Q29" s="68">
        <f t="shared" si="33"/>
        <v>100000</v>
      </c>
      <c r="R29" s="175">
        <f>VLOOKUP(A29,AUG!$A$4:$K$99,11,0)</f>
        <v>0</v>
      </c>
      <c r="S29" s="76"/>
      <c r="T29" s="68">
        <f t="shared" si="34"/>
        <v>100000</v>
      </c>
      <c r="U29" s="76"/>
      <c r="V29" s="81">
        <v>100000</v>
      </c>
      <c r="W29" s="68">
        <f t="shared" si="35"/>
        <v>200000</v>
      </c>
      <c r="X29" s="81"/>
      <c r="Y29" s="76"/>
      <c r="Z29" s="68">
        <f t="shared" si="36"/>
        <v>200000</v>
      </c>
      <c r="AA29" s="76"/>
      <c r="AB29" s="76"/>
      <c r="AC29" s="68">
        <f t="shared" si="37"/>
        <v>200000</v>
      </c>
      <c r="AD29" s="76"/>
      <c r="AE29" s="81"/>
      <c r="AF29" s="68">
        <f t="shared" si="38"/>
        <v>200000</v>
      </c>
      <c r="AG29" s="81"/>
      <c r="AH29" s="76"/>
      <c r="AI29" s="68">
        <f t="shared" si="39"/>
        <v>200000</v>
      </c>
      <c r="AJ29" s="76"/>
      <c r="AK29" s="76"/>
      <c r="AL29" s="68">
        <f t="shared" si="40"/>
        <v>200000</v>
      </c>
      <c r="AM29" s="77"/>
      <c r="AN29" s="78">
        <f t="shared" si="1"/>
        <v>200000</v>
      </c>
      <c r="AO29" s="79">
        <f t="shared" si="2"/>
        <v>0</v>
      </c>
      <c r="AP29" s="78">
        <f t="shared" si="3"/>
        <v>200000</v>
      </c>
    </row>
    <row r="30" spans="1:42" x14ac:dyDescent="0.2">
      <c r="A30" s="37" t="s">
        <v>28</v>
      </c>
      <c r="B30" s="40"/>
      <c r="C30" s="40"/>
      <c r="D30" s="40"/>
      <c r="E30" s="81"/>
      <c r="F30" s="68">
        <f>VLOOKUP(A30,APR!$A$4:$K$99,11,0)</f>
        <v>0</v>
      </c>
      <c r="G30" s="81"/>
      <c r="H30" s="68">
        <f t="shared" si="30"/>
        <v>0</v>
      </c>
      <c r="I30" s="68">
        <f>VLOOKUP(A30,MAY!$A$4:$K$99,11,0)</f>
        <v>0</v>
      </c>
      <c r="J30" s="80"/>
      <c r="K30" s="68">
        <f t="shared" si="31"/>
        <v>0</v>
      </c>
      <c r="L30" s="68">
        <f>VLOOKUP(A30,JUN!$A$4:$K$99,11,0)</f>
        <v>0</v>
      </c>
      <c r="M30" s="81">
        <v>200000</v>
      </c>
      <c r="N30" s="68">
        <f t="shared" si="32"/>
        <v>200000</v>
      </c>
      <c r="O30" s="68">
        <f>VLOOKUP(A30,JUL!$A$4:$K$99,11,0)</f>
        <v>0</v>
      </c>
      <c r="P30" s="76"/>
      <c r="Q30" s="68">
        <f t="shared" si="33"/>
        <v>200000</v>
      </c>
      <c r="R30" s="175">
        <f>VLOOKUP(A30,AUG!$A$4:$K$99,11,0)</f>
        <v>8744</v>
      </c>
      <c r="S30" s="76"/>
      <c r="T30" s="68">
        <f t="shared" si="34"/>
        <v>191256</v>
      </c>
      <c r="U30" s="76"/>
      <c r="V30" s="81">
        <v>200000</v>
      </c>
      <c r="W30" s="68">
        <f t="shared" si="35"/>
        <v>391256</v>
      </c>
      <c r="X30" s="81"/>
      <c r="Y30" s="76"/>
      <c r="Z30" s="68">
        <f t="shared" si="36"/>
        <v>391256</v>
      </c>
      <c r="AA30" s="76"/>
      <c r="AB30" s="76"/>
      <c r="AC30" s="68">
        <f t="shared" si="37"/>
        <v>391256</v>
      </c>
      <c r="AD30" s="76"/>
      <c r="AE30" s="81"/>
      <c r="AF30" s="68">
        <f t="shared" si="38"/>
        <v>391256</v>
      </c>
      <c r="AG30" s="81"/>
      <c r="AH30" s="76"/>
      <c r="AI30" s="68">
        <f t="shared" si="39"/>
        <v>391256</v>
      </c>
      <c r="AJ30" s="76"/>
      <c r="AK30" s="76"/>
      <c r="AL30" s="68">
        <f t="shared" si="40"/>
        <v>391256</v>
      </c>
      <c r="AM30" s="77"/>
      <c r="AN30" s="78">
        <f t="shared" si="1"/>
        <v>400000</v>
      </c>
      <c r="AO30" s="79">
        <f t="shared" si="2"/>
        <v>8744</v>
      </c>
      <c r="AP30" s="78">
        <f t="shared" si="3"/>
        <v>391256</v>
      </c>
    </row>
    <row r="31" spans="1:42" x14ac:dyDescent="0.2">
      <c r="A31" s="37" t="s">
        <v>29</v>
      </c>
      <c r="B31" s="40"/>
      <c r="C31" s="40"/>
      <c r="D31" s="40"/>
      <c r="E31" s="81"/>
      <c r="F31" s="68">
        <f>VLOOKUP(A31,APR!$A$4:$K$99,11,0)</f>
        <v>0</v>
      </c>
      <c r="G31" s="81"/>
      <c r="H31" s="68">
        <f t="shared" si="30"/>
        <v>0</v>
      </c>
      <c r="I31" s="68">
        <f>VLOOKUP(A31,MAY!$A$4:$K$99,11,0)</f>
        <v>0</v>
      </c>
      <c r="J31" s="80"/>
      <c r="K31" s="68">
        <f t="shared" si="31"/>
        <v>0</v>
      </c>
      <c r="L31" s="68">
        <f>VLOOKUP(A31,JUN!$A$4:$K$99,11,0)</f>
        <v>234820</v>
      </c>
      <c r="M31" s="82">
        <v>50000</v>
      </c>
      <c r="N31" s="68">
        <f t="shared" si="32"/>
        <v>-184820</v>
      </c>
      <c r="O31" s="68">
        <f>VLOOKUP(A31,JUL!$A$4:$K$99,11,0)</f>
        <v>0</v>
      </c>
      <c r="P31" s="83"/>
      <c r="Q31" s="68">
        <f t="shared" si="33"/>
        <v>-184820</v>
      </c>
      <c r="R31" s="175">
        <f>VLOOKUP(A31,AUG!$A$4:$K$99,11,0)</f>
        <v>0</v>
      </c>
      <c r="S31" s="76"/>
      <c r="T31" s="68">
        <f t="shared" si="34"/>
        <v>-184820</v>
      </c>
      <c r="U31" s="76"/>
      <c r="V31" s="82">
        <v>50000</v>
      </c>
      <c r="W31" s="68">
        <f t="shared" si="35"/>
        <v>-134820</v>
      </c>
      <c r="X31" s="82"/>
      <c r="Y31" s="76"/>
      <c r="Z31" s="68">
        <f t="shared" si="36"/>
        <v>-134820</v>
      </c>
      <c r="AA31" s="76"/>
      <c r="AB31" s="76"/>
      <c r="AC31" s="68">
        <f t="shared" si="37"/>
        <v>-134820</v>
      </c>
      <c r="AD31" s="76"/>
      <c r="AE31" s="82">
        <v>50000</v>
      </c>
      <c r="AF31" s="68">
        <f t="shared" si="38"/>
        <v>-84820</v>
      </c>
      <c r="AG31" s="82"/>
      <c r="AH31" s="76"/>
      <c r="AI31" s="68">
        <f t="shared" si="39"/>
        <v>-84820</v>
      </c>
      <c r="AJ31" s="76"/>
      <c r="AK31" s="76"/>
      <c r="AL31" s="68">
        <f t="shared" si="40"/>
        <v>-84820</v>
      </c>
      <c r="AM31" s="77"/>
      <c r="AN31" s="78">
        <f t="shared" si="1"/>
        <v>150000</v>
      </c>
      <c r="AO31" s="79">
        <f t="shared" si="2"/>
        <v>234820</v>
      </c>
      <c r="AP31" s="78">
        <f t="shared" si="3"/>
        <v>-84820</v>
      </c>
    </row>
    <row r="32" spans="1:42" x14ac:dyDescent="0.2">
      <c r="A32" s="42" t="s">
        <v>30</v>
      </c>
      <c r="B32" s="40"/>
      <c r="C32" s="40"/>
      <c r="D32" s="40"/>
      <c r="E32" s="81"/>
      <c r="F32" s="68">
        <f>VLOOKUP(A32,APR!$A$4:$K$99,11,0)</f>
        <v>0</v>
      </c>
      <c r="G32" s="81"/>
      <c r="H32" s="68">
        <f t="shared" si="30"/>
        <v>0</v>
      </c>
      <c r="I32" s="68">
        <f>VLOOKUP(A32,MAY!$A$4:$K$99,11,0)</f>
        <v>0</v>
      </c>
      <c r="J32" s="80"/>
      <c r="K32" s="68">
        <f t="shared" si="31"/>
        <v>0</v>
      </c>
      <c r="L32" s="68">
        <f>VLOOKUP(A32,JUN!$A$4:$K$99,11,0)</f>
        <v>99946</v>
      </c>
      <c r="M32" s="83"/>
      <c r="N32" s="68">
        <f t="shared" si="32"/>
        <v>-99946</v>
      </c>
      <c r="O32" s="68">
        <f>VLOOKUP(A32,JUL!$A$4:$K$99,11,0)</f>
        <v>0</v>
      </c>
      <c r="P32" s="76">
        <v>600000</v>
      </c>
      <c r="Q32" s="68">
        <f t="shared" si="33"/>
        <v>500054</v>
      </c>
      <c r="R32" s="175">
        <f>VLOOKUP(A32,AUG!$A$4:$K$99,11,0)</f>
        <v>0</v>
      </c>
      <c r="S32" s="76"/>
      <c r="T32" s="68">
        <f t="shared" si="34"/>
        <v>500054</v>
      </c>
      <c r="U32" s="76"/>
      <c r="V32" s="76"/>
      <c r="W32" s="68">
        <f t="shared" si="35"/>
        <v>500054</v>
      </c>
      <c r="X32" s="76"/>
      <c r="Y32" s="76"/>
      <c r="Z32" s="68">
        <f t="shared" si="36"/>
        <v>500054</v>
      </c>
      <c r="AA32" s="76"/>
      <c r="AB32" s="76"/>
      <c r="AC32" s="68">
        <f t="shared" si="37"/>
        <v>500054</v>
      </c>
      <c r="AD32" s="76"/>
      <c r="AE32" s="76"/>
      <c r="AF32" s="68">
        <f t="shared" si="38"/>
        <v>500054</v>
      </c>
      <c r="AG32" s="76"/>
      <c r="AH32" s="76"/>
      <c r="AI32" s="68">
        <f t="shared" si="39"/>
        <v>500054</v>
      </c>
      <c r="AJ32" s="76"/>
      <c r="AK32" s="76"/>
      <c r="AL32" s="68">
        <f t="shared" si="40"/>
        <v>500054</v>
      </c>
      <c r="AM32" s="77"/>
      <c r="AN32" s="78">
        <f t="shared" si="1"/>
        <v>600000</v>
      </c>
      <c r="AO32" s="79">
        <f t="shared" si="2"/>
        <v>99946</v>
      </c>
      <c r="AP32" s="78">
        <f t="shared" si="3"/>
        <v>500054</v>
      </c>
    </row>
    <row r="33" spans="1:43" x14ac:dyDescent="0.2">
      <c r="A33" s="37" t="s">
        <v>31</v>
      </c>
      <c r="B33" s="40"/>
      <c r="C33" s="40"/>
      <c r="D33" s="40"/>
      <c r="E33" s="81"/>
      <c r="F33" s="68">
        <f>VLOOKUP(A33,APR!$A$4:$K$99,11,0)</f>
        <v>0</v>
      </c>
      <c r="G33" s="81"/>
      <c r="H33" s="68">
        <f t="shared" si="30"/>
        <v>0</v>
      </c>
      <c r="I33" s="68">
        <f>VLOOKUP(A33,MAY!$A$4:$K$99,11,0)</f>
        <v>0</v>
      </c>
      <c r="J33" s="80"/>
      <c r="K33" s="68">
        <f t="shared" si="31"/>
        <v>0</v>
      </c>
      <c r="L33" s="68">
        <f>VLOOKUP(A33,JUN!$A$4:$K$99,11,0)</f>
        <v>0</v>
      </c>
      <c r="M33" s="82">
        <v>200000</v>
      </c>
      <c r="N33" s="68">
        <f t="shared" si="32"/>
        <v>200000</v>
      </c>
      <c r="O33" s="68">
        <f>VLOOKUP(A33,JUL!$A$4:$K$99,11,0)</f>
        <v>0</v>
      </c>
      <c r="P33" s="83"/>
      <c r="Q33" s="68">
        <f t="shared" si="33"/>
        <v>200000</v>
      </c>
      <c r="R33" s="175">
        <f>VLOOKUP(A33,AUG!$A$4:$K$99,11,0)</f>
        <v>0</v>
      </c>
      <c r="S33" s="76"/>
      <c r="T33" s="68">
        <f t="shared" si="34"/>
        <v>200000</v>
      </c>
      <c r="U33" s="76"/>
      <c r="V33" s="82">
        <v>200000</v>
      </c>
      <c r="W33" s="68">
        <f t="shared" si="35"/>
        <v>400000</v>
      </c>
      <c r="X33" s="82"/>
      <c r="Y33" s="76"/>
      <c r="Z33" s="68">
        <f t="shared" si="36"/>
        <v>400000</v>
      </c>
      <c r="AA33" s="76"/>
      <c r="AB33" s="76"/>
      <c r="AC33" s="68">
        <f t="shared" si="37"/>
        <v>400000</v>
      </c>
      <c r="AD33" s="76"/>
      <c r="AE33" s="82">
        <v>200000</v>
      </c>
      <c r="AF33" s="68">
        <f t="shared" si="38"/>
        <v>600000</v>
      </c>
      <c r="AG33" s="82"/>
      <c r="AH33" s="76"/>
      <c r="AI33" s="68">
        <f t="shared" si="39"/>
        <v>600000</v>
      </c>
      <c r="AJ33" s="76"/>
      <c r="AK33" s="84">
        <v>200000</v>
      </c>
      <c r="AL33" s="68">
        <f t="shared" si="40"/>
        <v>800000</v>
      </c>
      <c r="AM33" s="85"/>
      <c r="AN33" s="86">
        <f t="shared" si="1"/>
        <v>800000</v>
      </c>
      <c r="AO33" s="87">
        <f t="shared" si="2"/>
        <v>0</v>
      </c>
      <c r="AP33" s="86">
        <f t="shared" si="3"/>
        <v>800000</v>
      </c>
    </row>
    <row r="34" spans="1:43" x14ac:dyDescent="0.2">
      <c r="A34" s="38" t="s">
        <v>32</v>
      </c>
      <c r="B34" s="39"/>
      <c r="C34" s="39">
        <v>0</v>
      </c>
      <c r="D34" s="39">
        <v>14</v>
      </c>
      <c r="E34" s="43">
        <f>SUM(E35:E38)</f>
        <v>10800000</v>
      </c>
      <c r="F34" s="43">
        <f t="shared" ref="F34:AM34" si="41">SUM(F35:F38)</f>
        <v>0</v>
      </c>
      <c r="G34" s="43">
        <f t="shared" si="41"/>
        <v>16100000</v>
      </c>
      <c r="H34" s="43">
        <f t="shared" si="41"/>
        <v>26900000</v>
      </c>
      <c r="I34" s="43">
        <f t="shared" si="41"/>
        <v>0</v>
      </c>
      <c r="J34" s="43">
        <f t="shared" si="41"/>
        <v>16400000</v>
      </c>
      <c r="K34" s="43">
        <f t="shared" si="41"/>
        <v>43300000</v>
      </c>
      <c r="L34" s="43">
        <f t="shared" si="41"/>
        <v>955859</v>
      </c>
      <c r="M34" s="43">
        <f t="shared" si="41"/>
        <v>16100000</v>
      </c>
      <c r="N34" s="43">
        <f t="shared" si="41"/>
        <v>58444141</v>
      </c>
      <c r="O34" s="43">
        <f t="shared" si="41"/>
        <v>325090</v>
      </c>
      <c r="P34" s="43">
        <f t="shared" si="41"/>
        <v>1100000</v>
      </c>
      <c r="Q34" s="43">
        <f t="shared" si="41"/>
        <v>59219051</v>
      </c>
      <c r="R34" s="43">
        <f t="shared" si="41"/>
        <v>1180000</v>
      </c>
      <c r="S34" s="43">
        <f t="shared" si="41"/>
        <v>1400000</v>
      </c>
      <c r="T34" s="43">
        <f t="shared" si="41"/>
        <v>59439051</v>
      </c>
      <c r="U34" s="43">
        <f t="shared" si="41"/>
        <v>0</v>
      </c>
      <c r="V34" s="43">
        <f t="shared" si="41"/>
        <v>1100000</v>
      </c>
      <c r="W34" s="43">
        <f t="shared" si="41"/>
        <v>60539051</v>
      </c>
      <c r="X34" s="43">
        <f t="shared" si="41"/>
        <v>0</v>
      </c>
      <c r="Y34" s="43">
        <f t="shared" si="41"/>
        <v>1400000</v>
      </c>
      <c r="Z34" s="43">
        <f t="shared" si="41"/>
        <v>61939051</v>
      </c>
      <c r="AA34" s="43">
        <f t="shared" si="41"/>
        <v>0</v>
      </c>
      <c r="AB34" s="43">
        <f t="shared" si="41"/>
        <v>1100000</v>
      </c>
      <c r="AC34" s="43">
        <f t="shared" si="41"/>
        <v>63039051</v>
      </c>
      <c r="AD34" s="43">
        <f t="shared" si="41"/>
        <v>0</v>
      </c>
      <c r="AE34" s="43">
        <f t="shared" si="41"/>
        <v>1400000</v>
      </c>
      <c r="AF34" s="43">
        <f t="shared" si="41"/>
        <v>64439051</v>
      </c>
      <c r="AG34" s="43">
        <f t="shared" si="41"/>
        <v>0</v>
      </c>
      <c r="AH34" s="43">
        <f t="shared" si="41"/>
        <v>1100000</v>
      </c>
      <c r="AI34" s="43">
        <f t="shared" si="41"/>
        <v>65539051</v>
      </c>
      <c r="AJ34" s="43">
        <f t="shared" si="41"/>
        <v>0</v>
      </c>
      <c r="AK34" s="43">
        <f t="shared" si="41"/>
        <v>1400000</v>
      </c>
      <c r="AL34" s="43">
        <f t="shared" si="41"/>
        <v>66939051</v>
      </c>
      <c r="AM34" s="43">
        <f t="shared" si="41"/>
        <v>0</v>
      </c>
      <c r="AN34" s="52">
        <f t="shared" si="1"/>
        <v>69400000</v>
      </c>
      <c r="AO34" s="56">
        <f t="shared" si="2"/>
        <v>2460949</v>
      </c>
      <c r="AP34" s="52">
        <f t="shared" si="3"/>
        <v>66939051</v>
      </c>
    </row>
    <row r="35" spans="1:43" x14ac:dyDescent="0.2">
      <c r="A35" s="37" t="s">
        <v>33</v>
      </c>
      <c r="B35" s="40"/>
      <c r="C35" s="40"/>
      <c r="D35" s="40"/>
      <c r="E35" s="81"/>
      <c r="F35" s="68">
        <f>VLOOKUP(A35,APR!$A$4:$K$99,11,0)</f>
        <v>0</v>
      </c>
      <c r="G35" s="81"/>
      <c r="H35" s="68">
        <f t="shared" ref="H35:H38" si="42">E35-F35+G35</f>
        <v>0</v>
      </c>
      <c r="I35" s="68">
        <f>VLOOKUP(A35,MAY!$A$4:$K$99,11,0)</f>
        <v>0</v>
      </c>
      <c r="J35" s="80">
        <v>300000</v>
      </c>
      <c r="K35" s="68">
        <f t="shared" ref="K35:K38" si="43">H35-I35+J35</f>
        <v>300000</v>
      </c>
      <c r="L35" s="68">
        <f>VLOOKUP(A35,JUN!$A$4:$K$99,11,0)</f>
        <v>0</v>
      </c>
      <c r="M35" s="84"/>
      <c r="N35" s="68">
        <f t="shared" ref="N35:N38" si="44">K35-L35+M35</f>
        <v>300000</v>
      </c>
      <c r="O35" s="68">
        <f>VLOOKUP(A35,JUL!$A$4:$K$99,11,0)</f>
        <v>0</v>
      </c>
      <c r="P35" s="83"/>
      <c r="Q35" s="68">
        <f t="shared" ref="Q35:Q38" si="45">N35-O35+P35</f>
        <v>300000</v>
      </c>
      <c r="R35" s="175">
        <f>VLOOKUP(A35,AUG!$A$4:$K$99,11,0)</f>
        <v>0</v>
      </c>
      <c r="S35" s="80">
        <v>300000</v>
      </c>
      <c r="T35" s="68">
        <f t="shared" ref="T35:T38" si="46">Q35-R35+S35</f>
        <v>600000</v>
      </c>
      <c r="U35" s="80"/>
      <c r="V35" s="76"/>
      <c r="W35" s="68">
        <f t="shared" ref="W35:W38" si="47">T35-U35+V35</f>
        <v>600000</v>
      </c>
      <c r="X35" s="76"/>
      <c r="Y35" s="80">
        <v>300000</v>
      </c>
      <c r="Z35" s="68">
        <f t="shared" ref="Z35:Z38" si="48">W35-X35+Y35</f>
        <v>900000</v>
      </c>
      <c r="AA35" s="80"/>
      <c r="AB35" s="76"/>
      <c r="AC35" s="68">
        <f t="shared" ref="AC35:AC38" si="49">Z35-AA35+AB35</f>
        <v>900000</v>
      </c>
      <c r="AD35" s="76"/>
      <c r="AE35" s="80">
        <v>300000</v>
      </c>
      <c r="AF35" s="68">
        <f t="shared" ref="AF35:AF38" si="50">AC35-AD35+AE35</f>
        <v>1200000</v>
      </c>
      <c r="AG35" s="80"/>
      <c r="AH35" s="76"/>
      <c r="AI35" s="68">
        <f t="shared" ref="AI35:AI38" si="51">AF35-AG35+AH35</f>
        <v>1200000</v>
      </c>
      <c r="AJ35" s="76"/>
      <c r="AK35" s="80">
        <v>300000</v>
      </c>
      <c r="AL35" s="68">
        <f t="shared" ref="AL35:AL38" si="52">AI35-AJ35+AK35</f>
        <v>1500000</v>
      </c>
      <c r="AM35" s="88"/>
      <c r="AN35" s="89">
        <f t="shared" si="1"/>
        <v>1500000</v>
      </c>
      <c r="AO35" s="90">
        <f t="shared" si="2"/>
        <v>0</v>
      </c>
      <c r="AP35" s="89">
        <f t="shared" si="3"/>
        <v>1500000</v>
      </c>
    </row>
    <row r="36" spans="1:43" x14ac:dyDescent="0.2">
      <c r="A36" s="37" t="s">
        <v>34</v>
      </c>
      <c r="B36" s="40"/>
      <c r="C36" s="40"/>
      <c r="D36" s="40"/>
      <c r="E36" s="76">
        <f>10000000</f>
        <v>10000000</v>
      </c>
      <c r="F36" s="68">
        <f>VLOOKUP(A36,APR!$A$4:$K$99,11,0)</f>
        <v>0</v>
      </c>
      <c r="G36" s="76">
        <v>800000</v>
      </c>
      <c r="H36" s="68">
        <f t="shared" si="42"/>
        <v>10800000</v>
      </c>
      <c r="I36" s="68">
        <f>VLOOKUP(A36,MAY!$A$4:$K$99,11,0)</f>
        <v>0</v>
      </c>
      <c r="J36" s="76">
        <v>800000</v>
      </c>
      <c r="K36" s="68">
        <f t="shared" si="43"/>
        <v>11600000</v>
      </c>
      <c r="L36" s="68">
        <f>VLOOKUP(A36,JUN!$A$4:$K$99,11,0)</f>
        <v>944000</v>
      </c>
      <c r="M36" s="76">
        <v>800000</v>
      </c>
      <c r="N36" s="68">
        <f t="shared" si="44"/>
        <v>11456000</v>
      </c>
      <c r="O36" s="68">
        <f>VLOOKUP(A36,JUL!$A$4:$K$99,11,0)</f>
        <v>0</v>
      </c>
      <c r="P36" s="76">
        <v>800000</v>
      </c>
      <c r="Q36" s="68">
        <f t="shared" si="45"/>
        <v>12256000</v>
      </c>
      <c r="R36" s="175">
        <f>VLOOKUP(A36,AUG!$A$4:$K$99,11,0)</f>
        <v>1180000</v>
      </c>
      <c r="S36" s="76">
        <v>800000</v>
      </c>
      <c r="T36" s="68">
        <f t="shared" si="46"/>
        <v>11876000</v>
      </c>
      <c r="U36" s="76"/>
      <c r="V36" s="76">
        <v>800000</v>
      </c>
      <c r="W36" s="68">
        <f t="shared" si="47"/>
        <v>12676000</v>
      </c>
      <c r="X36" s="76"/>
      <c r="Y36" s="76">
        <v>800000</v>
      </c>
      <c r="Z36" s="68">
        <f t="shared" si="48"/>
        <v>13476000</v>
      </c>
      <c r="AA36" s="76"/>
      <c r="AB36" s="76">
        <v>800000</v>
      </c>
      <c r="AC36" s="68">
        <f t="shared" si="49"/>
        <v>14276000</v>
      </c>
      <c r="AD36" s="76"/>
      <c r="AE36" s="76">
        <v>800000</v>
      </c>
      <c r="AF36" s="68">
        <f t="shared" si="50"/>
        <v>15076000</v>
      </c>
      <c r="AG36" s="76"/>
      <c r="AH36" s="76">
        <v>800000</v>
      </c>
      <c r="AI36" s="68">
        <f t="shared" si="51"/>
        <v>15876000</v>
      </c>
      <c r="AJ36" s="76"/>
      <c r="AK36" s="76">
        <v>800000</v>
      </c>
      <c r="AL36" s="68">
        <f t="shared" si="52"/>
        <v>16676000</v>
      </c>
      <c r="AM36" s="77"/>
      <c r="AN36" s="78">
        <f t="shared" si="1"/>
        <v>18800000</v>
      </c>
      <c r="AO36" s="79">
        <f t="shared" si="2"/>
        <v>2124000</v>
      </c>
      <c r="AP36" s="78">
        <f t="shared" si="3"/>
        <v>16676000</v>
      </c>
    </row>
    <row r="37" spans="1:43" x14ac:dyDescent="0.2">
      <c r="A37" s="37" t="s">
        <v>35</v>
      </c>
      <c r="B37" s="40"/>
      <c r="C37" s="40"/>
      <c r="D37" s="40"/>
      <c r="E37" s="76"/>
      <c r="F37" s="68">
        <f>VLOOKUP(A37,APR!$A$4:$K$99,11,0)</f>
        <v>0</v>
      </c>
      <c r="G37" s="76">
        <v>15000000</v>
      </c>
      <c r="H37" s="68">
        <f t="shared" si="42"/>
        <v>15000000</v>
      </c>
      <c r="I37" s="68">
        <f>VLOOKUP(A37,MAY!$A$4:$K$99,11,0)</f>
        <v>0</v>
      </c>
      <c r="J37" s="76">
        <v>15000000</v>
      </c>
      <c r="K37" s="68">
        <f t="shared" si="43"/>
        <v>30000000</v>
      </c>
      <c r="L37" s="68">
        <f>VLOOKUP(A37,JUN!$A$4:$K$99,11,0)</f>
        <v>0</v>
      </c>
      <c r="M37" s="76">
        <v>15000000</v>
      </c>
      <c r="N37" s="68">
        <f t="shared" si="44"/>
        <v>45000000</v>
      </c>
      <c r="O37" s="68">
        <f>VLOOKUP(A37,JUL!$A$4:$K$99,11,0)</f>
        <v>325090</v>
      </c>
      <c r="P37" s="76"/>
      <c r="Q37" s="68">
        <f t="shared" si="45"/>
        <v>44674910</v>
      </c>
      <c r="R37" s="175">
        <f>VLOOKUP(A37,AUG!$A$4:$K$99,11,0)</f>
        <v>0</v>
      </c>
      <c r="S37" s="76"/>
      <c r="T37" s="68">
        <f t="shared" si="46"/>
        <v>44674910</v>
      </c>
      <c r="U37" s="76"/>
      <c r="V37" s="76"/>
      <c r="W37" s="68">
        <f t="shared" si="47"/>
        <v>44674910</v>
      </c>
      <c r="X37" s="76"/>
      <c r="Y37" s="76"/>
      <c r="Z37" s="68">
        <f t="shared" si="48"/>
        <v>44674910</v>
      </c>
      <c r="AA37" s="76"/>
      <c r="AB37" s="76"/>
      <c r="AC37" s="68">
        <f t="shared" si="49"/>
        <v>44674910</v>
      </c>
      <c r="AD37" s="76"/>
      <c r="AE37" s="76"/>
      <c r="AF37" s="68">
        <f t="shared" si="50"/>
        <v>44674910</v>
      </c>
      <c r="AG37" s="76"/>
      <c r="AH37" s="76"/>
      <c r="AI37" s="68">
        <f t="shared" si="51"/>
        <v>44674910</v>
      </c>
      <c r="AJ37" s="76"/>
      <c r="AK37" s="76"/>
      <c r="AL37" s="68">
        <f t="shared" si="52"/>
        <v>44674910</v>
      </c>
      <c r="AM37" s="77"/>
      <c r="AN37" s="78">
        <f t="shared" si="1"/>
        <v>45000000</v>
      </c>
      <c r="AO37" s="79">
        <f t="shared" si="2"/>
        <v>325090</v>
      </c>
      <c r="AP37" s="78">
        <f t="shared" si="3"/>
        <v>44674910</v>
      </c>
    </row>
    <row r="38" spans="1:43" x14ac:dyDescent="0.2">
      <c r="A38" s="37" t="s">
        <v>36</v>
      </c>
      <c r="B38" s="40"/>
      <c r="C38" s="40"/>
      <c r="D38" s="40"/>
      <c r="E38" s="76">
        <v>800000</v>
      </c>
      <c r="F38" s="68">
        <f>VLOOKUP(A38,APR!$A$4:$K$99,11,0)</f>
        <v>0</v>
      </c>
      <c r="G38" s="81">
        <v>300000</v>
      </c>
      <c r="H38" s="68">
        <f t="shared" si="42"/>
        <v>1100000</v>
      </c>
      <c r="I38" s="68">
        <f>VLOOKUP(A38,MAY!$A$4:$K$99,11,0)</f>
        <v>0</v>
      </c>
      <c r="J38" s="81">
        <v>300000</v>
      </c>
      <c r="K38" s="68">
        <f t="shared" si="43"/>
        <v>1400000</v>
      </c>
      <c r="L38" s="68">
        <f>VLOOKUP(A38,JUN!$A$4:$K$99,11,0)</f>
        <v>11859</v>
      </c>
      <c r="M38" s="81">
        <v>300000</v>
      </c>
      <c r="N38" s="68">
        <f t="shared" si="44"/>
        <v>1688141</v>
      </c>
      <c r="O38" s="68">
        <f>VLOOKUP(A38,JUL!$A$4:$K$99,11,0)</f>
        <v>0</v>
      </c>
      <c r="P38" s="81">
        <v>300000</v>
      </c>
      <c r="Q38" s="68">
        <f t="shared" si="45"/>
        <v>1988141</v>
      </c>
      <c r="R38" s="175">
        <f>VLOOKUP(A38,AUG!$A$4:$K$99,11,0)</f>
        <v>0</v>
      </c>
      <c r="S38" s="81">
        <v>300000</v>
      </c>
      <c r="T38" s="68">
        <f t="shared" si="46"/>
        <v>2288141</v>
      </c>
      <c r="U38" s="81"/>
      <c r="V38" s="81">
        <v>300000</v>
      </c>
      <c r="W38" s="68">
        <f t="shared" si="47"/>
        <v>2588141</v>
      </c>
      <c r="X38" s="81"/>
      <c r="Y38" s="81">
        <v>300000</v>
      </c>
      <c r="Z38" s="68">
        <f t="shared" si="48"/>
        <v>2888141</v>
      </c>
      <c r="AA38" s="81"/>
      <c r="AB38" s="81">
        <v>300000</v>
      </c>
      <c r="AC38" s="68">
        <f t="shared" si="49"/>
        <v>3188141</v>
      </c>
      <c r="AD38" s="81"/>
      <c r="AE38" s="81">
        <v>300000</v>
      </c>
      <c r="AF38" s="68">
        <f t="shared" si="50"/>
        <v>3488141</v>
      </c>
      <c r="AG38" s="81"/>
      <c r="AH38" s="81">
        <v>300000</v>
      </c>
      <c r="AI38" s="68">
        <f t="shared" si="51"/>
        <v>3788141</v>
      </c>
      <c r="AJ38" s="81"/>
      <c r="AK38" s="81">
        <v>300000</v>
      </c>
      <c r="AL38" s="68">
        <f t="shared" si="52"/>
        <v>4088141</v>
      </c>
      <c r="AM38" s="91"/>
      <c r="AN38" s="92">
        <f t="shared" si="1"/>
        <v>4100000</v>
      </c>
      <c r="AO38" s="93">
        <f t="shared" si="2"/>
        <v>11859</v>
      </c>
      <c r="AP38" s="92">
        <f t="shared" si="3"/>
        <v>4088141</v>
      </c>
    </row>
    <row r="39" spans="1:43" x14ac:dyDescent="0.2">
      <c r="A39" s="38" t="s">
        <v>37</v>
      </c>
      <c r="B39" s="39"/>
      <c r="C39" s="39">
        <v>0</v>
      </c>
      <c r="D39" s="39"/>
      <c r="E39" s="43">
        <f>SUM(E40:E40)</f>
        <v>150000</v>
      </c>
      <c r="F39" s="43">
        <f t="shared" ref="F39:AM39" si="53">SUM(F40:F40)</f>
        <v>0</v>
      </c>
      <c r="G39" s="43">
        <f t="shared" si="53"/>
        <v>0</v>
      </c>
      <c r="H39" s="43">
        <f t="shared" si="53"/>
        <v>150000</v>
      </c>
      <c r="I39" s="43">
        <f t="shared" si="53"/>
        <v>0</v>
      </c>
      <c r="J39" s="43">
        <f t="shared" si="53"/>
        <v>50000</v>
      </c>
      <c r="K39" s="43">
        <f t="shared" si="53"/>
        <v>200000</v>
      </c>
      <c r="L39" s="43">
        <f t="shared" si="53"/>
        <v>0</v>
      </c>
      <c r="M39" s="43">
        <f t="shared" si="53"/>
        <v>0</v>
      </c>
      <c r="N39" s="43">
        <f t="shared" si="53"/>
        <v>200000</v>
      </c>
      <c r="O39" s="43">
        <f t="shared" si="53"/>
        <v>0</v>
      </c>
      <c r="P39" s="43">
        <f t="shared" si="53"/>
        <v>0</v>
      </c>
      <c r="Q39" s="43">
        <f t="shared" si="53"/>
        <v>200000</v>
      </c>
      <c r="R39" s="43">
        <f t="shared" si="53"/>
        <v>0</v>
      </c>
      <c r="S39" s="43">
        <f t="shared" si="53"/>
        <v>0</v>
      </c>
      <c r="T39" s="43">
        <f t="shared" si="53"/>
        <v>200000</v>
      </c>
      <c r="U39" s="43">
        <f t="shared" si="53"/>
        <v>0</v>
      </c>
      <c r="V39" s="43">
        <f t="shared" si="53"/>
        <v>0</v>
      </c>
      <c r="W39" s="43">
        <f t="shared" si="53"/>
        <v>200000</v>
      </c>
      <c r="X39" s="43">
        <f t="shared" si="53"/>
        <v>0</v>
      </c>
      <c r="Y39" s="43">
        <f t="shared" si="53"/>
        <v>0</v>
      </c>
      <c r="Z39" s="43">
        <f t="shared" si="53"/>
        <v>200000</v>
      </c>
      <c r="AA39" s="43">
        <f t="shared" si="53"/>
        <v>0</v>
      </c>
      <c r="AB39" s="43">
        <f t="shared" si="53"/>
        <v>0</v>
      </c>
      <c r="AC39" s="43">
        <f t="shared" si="53"/>
        <v>200000</v>
      </c>
      <c r="AD39" s="43">
        <f t="shared" si="53"/>
        <v>0</v>
      </c>
      <c r="AE39" s="43">
        <f t="shared" si="53"/>
        <v>0</v>
      </c>
      <c r="AF39" s="43">
        <f t="shared" si="53"/>
        <v>200000</v>
      </c>
      <c r="AG39" s="43">
        <f t="shared" si="53"/>
        <v>0</v>
      </c>
      <c r="AH39" s="43">
        <f t="shared" si="53"/>
        <v>0</v>
      </c>
      <c r="AI39" s="43">
        <f t="shared" si="53"/>
        <v>200000</v>
      </c>
      <c r="AJ39" s="43">
        <f t="shared" si="53"/>
        <v>0</v>
      </c>
      <c r="AK39" s="43">
        <f t="shared" si="53"/>
        <v>0</v>
      </c>
      <c r="AL39" s="43">
        <f t="shared" si="53"/>
        <v>200000</v>
      </c>
      <c r="AM39" s="43">
        <f t="shared" si="53"/>
        <v>0</v>
      </c>
      <c r="AN39" s="52">
        <f t="shared" si="1"/>
        <v>200000</v>
      </c>
      <c r="AO39" s="56">
        <f t="shared" si="2"/>
        <v>0</v>
      </c>
      <c r="AP39" s="52">
        <f t="shared" si="3"/>
        <v>200000</v>
      </c>
    </row>
    <row r="40" spans="1:43" x14ac:dyDescent="0.2">
      <c r="A40" s="37" t="s">
        <v>38</v>
      </c>
      <c r="B40" s="40"/>
      <c r="C40" s="40"/>
      <c r="D40" s="40"/>
      <c r="E40" s="81">
        <v>150000</v>
      </c>
      <c r="F40" s="68">
        <f>VLOOKUP(A40,APR!$A$4:$K$99,11,0)</f>
        <v>0</v>
      </c>
      <c r="G40" s="81"/>
      <c r="H40" s="68">
        <f>E40-F40+G40</f>
        <v>150000</v>
      </c>
      <c r="I40" s="68">
        <f>VLOOKUP(A40,MAY!$A$4:$K$99,11,0)</f>
        <v>0</v>
      </c>
      <c r="J40" s="80">
        <v>50000</v>
      </c>
      <c r="K40" s="68">
        <f>H40-I40+J40</f>
        <v>200000</v>
      </c>
      <c r="L40" s="68">
        <f>VLOOKUP(A40,JUN!$A$4:$K$99,11,0)</f>
        <v>0</v>
      </c>
      <c r="M40" s="84"/>
      <c r="N40" s="68">
        <f>K40-L40+M40</f>
        <v>200000</v>
      </c>
      <c r="O40" s="68">
        <f>VLOOKUP(A40,JUL!$A$4:$K$99,11,0)</f>
        <v>0</v>
      </c>
      <c r="P40" s="84"/>
      <c r="Q40" s="68">
        <f>N40-O40+P40</f>
        <v>200000</v>
      </c>
      <c r="R40" s="175">
        <f>VLOOKUP(A40,AUG!$A$4:$K$99,11,0)</f>
        <v>0</v>
      </c>
      <c r="S40" s="83"/>
      <c r="T40" s="68">
        <f>Q40-R40+S40</f>
        <v>200000</v>
      </c>
      <c r="U40" s="83"/>
      <c r="V40" s="83"/>
      <c r="W40" s="68">
        <f>T40-U40+V40</f>
        <v>200000</v>
      </c>
      <c r="X40" s="83"/>
      <c r="Y40" s="83"/>
      <c r="Z40" s="68">
        <f>W40-X40+Y40</f>
        <v>200000</v>
      </c>
      <c r="AA40" s="83"/>
      <c r="AB40" s="83"/>
      <c r="AC40" s="68">
        <f>Z40-AA40+AB40</f>
        <v>200000</v>
      </c>
      <c r="AD40" s="83"/>
      <c r="AE40" s="83"/>
      <c r="AF40" s="68">
        <f>AC40-AD40+AE40</f>
        <v>200000</v>
      </c>
      <c r="AG40" s="83"/>
      <c r="AH40" s="83"/>
      <c r="AI40" s="68">
        <f>AF40-AG40+AH40</f>
        <v>200000</v>
      </c>
      <c r="AJ40" s="83"/>
      <c r="AK40" s="83"/>
      <c r="AL40" s="68">
        <f>AI40-AJ40+AK40</f>
        <v>200000</v>
      </c>
      <c r="AM40" s="94"/>
      <c r="AN40" s="95">
        <f t="shared" si="1"/>
        <v>200000</v>
      </c>
      <c r="AO40" s="96">
        <f t="shared" si="2"/>
        <v>0</v>
      </c>
      <c r="AP40" s="95">
        <f t="shared" si="3"/>
        <v>200000</v>
      </c>
    </row>
    <row r="41" spans="1:43" x14ac:dyDescent="0.2">
      <c r="A41" s="38" t="s">
        <v>39</v>
      </c>
      <c r="B41" s="39"/>
      <c r="C41" s="39"/>
      <c r="D41" s="39"/>
      <c r="E41" s="43">
        <f>E42</f>
        <v>1000000</v>
      </c>
      <c r="F41" s="43">
        <f t="shared" ref="F41:AM41" si="54">F42</f>
        <v>0</v>
      </c>
      <c r="G41" s="43">
        <f t="shared" si="54"/>
        <v>10000000</v>
      </c>
      <c r="H41" s="43">
        <f t="shared" si="54"/>
        <v>11000000</v>
      </c>
      <c r="I41" s="43">
        <f t="shared" si="54"/>
        <v>0</v>
      </c>
      <c r="J41" s="43">
        <f t="shared" si="54"/>
        <v>0</v>
      </c>
      <c r="K41" s="43">
        <f t="shared" si="54"/>
        <v>11000000</v>
      </c>
      <c r="L41" s="43">
        <f t="shared" si="54"/>
        <v>0</v>
      </c>
      <c r="M41" s="43">
        <f t="shared" si="54"/>
        <v>3000000</v>
      </c>
      <c r="N41" s="43">
        <f t="shared" si="54"/>
        <v>14000000</v>
      </c>
      <c r="O41" s="43">
        <f t="shared" si="54"/>
        <v>6018000</v>
      </c>
      <c r="P41" s="43">
        <f t="shared" si="54"/>
        <v>0</v>
      </c>
      <c r="Q41" s="43">
        <f t="shared" si="54"/>
        <v>7982000</v>
      </c>
      <c r="R41" s="43">
        <f t="shared" si="54"/>
        <v>0</v>
      </c>
      <c r="S41" s="43">
        <f t="shared" si="54"/>
        <v>3000000</v>
      </c>
      <c r="T41" s="43">
        <f t="shared" si="54"/>
        <v>10982000</v>
      </c>
      <c r="U41" s="43">
        <f t="shared" si="54"/>
        <v>0</v>
      </c>
      <c r="V41" s="43">
        <f t="shared" si="54"/>
        <v>0</v>
      </c>
      <c r="W41" s="43">
        <f t="shared" si="54"/>
        <v>10982000</v>
      </c>
      <c r="X41" s="43">
        <f t="shared" si="54"/>
        <v>0</v>
      </c>
      <c r="Y41" s="43">
        <f t="shared" si="54"/>
        <v>3000000</v>
      </c>
      <c r="Z41" s="43">
        <f t="shared" si="54"/>
        <v>13982000</v>
      </c>
      <c r="AA41" s="43">
        <f t="shared" si="54"/>
        <v>0</v>
      </c>
      <c r="AB41" s="43">
        <f t="shared" si="54"/>
        <v>0</v>
      </c>
      <c r="AC41" s="43">
        <f t="shared" si="54"/>
        <v>13982000</v>
      </c>
      <c r="AD41" s="43">
        <f t="shared" si="54"/>
        <v>0</v>
      </c>
      <c r="AE41" s="43">
        <f t="shared" si="54"/>
        <v>0</v>
      </c>
      <c r="AF41" s="43">
        <f t="shared" si="54"/>
        <v>13982000</v>
      </c>
      <c r="AG41" s="43">
        <f t="shared" si="54"/>
        <v>0</v>
      </c>
      <c r="AH41" s="43">
        <f t="shared" si="54"/>
        <v>10000000</v>
      </c>
      <c r="AI41" s="43">
        <f t="shared" si="54"/>
        <v>23982000</v>
      </c>
      <c r="AJ41" s="43">
        <f t="shared" si="54"/>
        <v>0</v>
      </c>
      <c r="AK41" s="43">
        <f t="shared" si="54"/>
        <v>0</v>
      </c>
      <c r="AL41" s="43">
        <f t="shared" si="54"/>
        <v>23982000</v>
      </c>
      <c r="AM41" s="43">
        <f t="shared" si="54"/>
        <v>0</v>
      </c>
      <c r="AN41" s="97">
        <f t="shared" si="1"/>
        <v>30000000</v>
      </c>
      <c r="AO41" s="98">
        <f t="shared" si="2"/>
        <v>6018000</v>
      </c>
      <c r="AP41" s="97">
        <f t="shared" si="3"/>
        <v>23982000</v>
      </c>
    </row>
    <row r="42" spans="1:43" x14ac:dyDescent="0.2">
      <c r="A42" s="37" t="s">
        <v>40</v>
      </c>
      <c r="B42" s="40"/>
      <c r="C42" s="40"/>
      <c r="D42" s="40"/>
      <c r="E42" s="81">
        <v>1000000</v>
      </c>
      <c r="F42" s="68">
        <f>VLOOKUP(A42,APR!$A$4:$K$99,11,0)</f>
        <v>0</v>
      </c>
      <c r="G42" s="81">
        <v>10000000</v>
      </c>
      <c r="H42" s="68">
        <f>E42-F42+G42</f>
        <v>11000000</v>
      </c>
      <c r="I42" s="68">
        <f>VLOOKUP(A42,MAY!$A$4:$K$99,11,0)</f>
        <v>0</v>
      </c>
      <c r="J42" s="80"/>
      <c r="K42" s="68">
        <f>H42-I42+J42</f>
        <v>11000000</v>
      </c>
      <c r="L42" s="68">
        <f>VLOOKUP(A42,JUN!$A$4:$K$99,11,0)</f>
        <v>0</v>
      </c>
      <c r="M42" s="83">
        <v>3000000</v>
      </c>
      <c r="N42" s="68">
        <f>K42-L42+M42</f>
        <v>14000000</v>
      </c>
      <c r="O42" s="68">
        <f>VLOOKUP(A42,JUL!$A$4:$K$99,11,0)</f>
        <v>6018000</v>
      </c>
      <c r="P42" s="84"/>
      <c r="Q42" s="68">
        <f>N42-O42+P42</f>
        <v>7982000</v>
      </c>
      <c r="R42" s="175">
        <f>VLOOKUP(A42,AUG!$A$4:$K$99,11,0)</f>
        <v>0</v>
      </c>
      <c r="S42" s="83">
        <v>3000000</v>
      </c>
      <c r="T42" s="68">
        <f>Q42-R42+S42</f>
        <v>10982000</v>
      </c>
      <c r="U42" s="83"/>
      <c r="V42" s="83"/>
      <c r="W42" s="68">
        <f>T42-U42+V42</f>
        <v>10982000</v>
      </c>
      <c r="X42" s="83"/>
      <c r="Y42" s="83">
        <v>3000000</v>
      </c>
      <c r="Z42" s="68">
        <f>W42-X42+Y42</f>
        <v>13982000</v>
      </c>
      <c r="AA42" s="83"/>
      <c r="AB42" s="83"/>
      <c r="AC42" s="68">
        <f>Z42-AA42+AB42</f>
        <v>13982000</v>
      </c>
      <c r="AD42" s="83"/>
      <c r="AE42" s="83"/>
      <c r="AF42" s="68">
        <f>AC42-AD42+AE42</f>
        <v>13982000</v>
      </c>
      <c r="AG42" s="83"/>
      <c r="AH42" s="83">
        <v>10000000</v>
      </c>
      <c r="AI42" s="68">
        <f>AF42-AG42+AH42</f>
        <v>23982000</v>
      </c>
      <c r="AJ42" s="83"/>
      <c r="AK42" s="83"/>
      <c r="AL42" s="68">
        <f>AI42-AJ42+AK42</f>
        <v>23982000</v>
      </c>
      <c r="AM42" s="94"/>
      <c r="AN42" s="95">
        <f t="shared" si="1"/>
        <v>30000000</v>
      </c>
      <c r="AO42" s="96">
        <f t="shared" si="2"/>
        <v>6018000</v>
      </c>
      <c r="AP42" s="95">
        <f t="shared" si="3"/>
        <v>23982000</v>
      </c>
    </row>
    <row r="43" spans="1:43" x14ac:dyDescent="0.2">
      <c r="A43" s="38" t="s">
        <v>41</v>
      </c>
      <c r="B43" s="39">
        <v>62341</v>
      </c>
      <c r="C43" s="39">
        <v>2.63</v>
      </c>
      <c r="D43" s="39">
        <v>11</v>
      </c>
      <c r="E43" s="39">
        <f>SUM(E44:E49)</f>
        <v>17280000</v>
      </c>
      <c r="F43" s="39">
        <f t="shared" ref="F43:AM43" si="55">SUM(F44:F49)</f>
        <v>0</v>
      </c>
      <c r="G43" s="39">
        <f t="shared" si="55"/>
        <v>5150000</v>
      </c>
      <c r="H43" s="39">
        <f t="shared" si="55"/>
        <v>22430000</v>
      </c>
      <c r="I43" s="39">
        <f t="shared" si="55"/>
        <v>0</v>
      </c>
      <c r="J43" s="39">
        <f t="shared" si="55"/>
        <v>5150000</v>
      </c>
      <c r="K43" s="39">
        <f t="shared" si="55"/>
        <v>27580000</v>
      </c>
      <c r="L43" s="39">
        <f t="shared" si="55"/>
        <v>141600</v>
      </c>
      <c r="M43" s="39">
        <f t="shared" si="55"/>
        <v>6950000</v>
      </c>
      <c r="N43" s="39">
        <f t="shared" si="55"/>
        <v>34388400</v>
      </c>
      <c r="O43" s="39">
        <f t="shared" si="55"/>
        <v>0</v>
      </c>
      <c r="P43" s="39">
        <f t="shared" si="55"/>
        <v>5150000</v>
      </c>
      <c r="Q43" s="39">
        <f t="shared" si="55"/>
        <v>39538400</v>
      </c>
      <c r="R43" s="39">
        <f t="shared" si="55"/>
        <v>153400</v>
      </c>
      <c r="S43" s="39">
        <f t="shared" si="55"/>
        <v>3665200</v>
      </c>
      <c r="T43" s="39">
        <f t="shared" si="55"/>
        <v>43050200</v>
      </c>
      <c r="U43" s="39">
        <f t="shared" si="55"/>
        <v>0</v>
      </c>
      <c r="V43" s="39">
        <f t="shared" si="55"/>
        <v>950000</v>
      </c>
      <c r="W43" s="39">
        <f t="shared" si="55"/>
        <v>44000200</v>
      </c>
      <c r="X43" s="39">
        <f t="shared" si="55"/>
        <v>0</v>
      </c>
      <c r="Y43" s="39">
        <f t="shared" si="55"/>
        <v>650000</v>
      </c>
      <c r="Z43" s="39">
        <f t="shared" si="55"/>
        <v>44650200</v>
      </c>
      <c r="AA43" s="39">
        <f t="shared" si="55"/>
        <v>0</v>
      </c>
      <c r="AB43" s="39">
        <f t="shared" si="55"/>
        <v>150000</v>
      </c>
      <c r="AC43" s="39">
        <f t="shared" si="55"/>
        <v>44800200</v>
      </c>
      <c r="AD43" s="39">
        <f t="shared" si="55"/>
        <v>0</v>
      </c>
      <c r="AE43" s="39">
        <f t="shared" si="55"/>
        <v>950000</v>
      </c>
      <c r="AF43" s="39">
        <f t="shared" si="55"/>
        <v>45750200</v>
      </c>
      <c r="AG43" s="39">
        <f t="shared" si="55"/>
        <v>0</v>
      </c>
      <c r="AH43" s="39">
        <f t="shared" si="55"/>
        <v>150000</v>
      </c>
      <c r="AI43" s="39">
        <f t="shared" si="55"/>
        <v>45900200</v>
      </c>
      <c r="AJ43" s="39">
        <f t="shared" si="55"/>
        <v>0</v>
      </c>
      <c r="AK43" s="39">
        <f t="shared" si="55"/>
        <v>150000</v>
      </c>
      <c r="AL43" s="39">
        <f t="shared" si="55"/>
        <v>46050200</v>
      </c>
      <c r="AM43" s="39">
        <f t="shared" si="55"/>
        <v>0</v>
      </c>
      <c r="AN43" s="51">
        <f t="shared" si="1"/>
        <v>46345200</v>
      </c>
      <c r="AO43" s="55">
        <f t="shared" si="2"/>
        <v>295000</v>
      </c>
      <c r="AP43" s="51">
        <f t="shared" si="3"/>
        <v>46050200</v>
      </c>
    </row>
    <row r="44" spans="1:43" x14ac:dyDescent="0.2">
      <c r="A44" s="42" t="s">
        <v>42</v>
      </c>
      <c r="B44" s="44"/>
      <c r="C44" s="44"/>
      <c r="D44" s="44"/>
      <c r="E44" s="76">
        <v>3000000</v>
      </c>
      <c r="F44" s="68">
        <f>VLOOKUP(A44,APR!$A$4:$K$99,11,0)</f>
        <v>0</v>
      </c>
      <c r="G44" s="76"/>
      <c r="H44" s="68">
        <f t="shared" ref="H44:H49" si="56">E44-F44+G44</f>
        <v>3000000</v>
      </c>
      <c r="I44" s="68">
        <f>VLOOKUP(A44,MAY!$A$4:$K$99,11,0)</f>
        <v>0</v>
      </c>
      <c r="J44" s="76"/>
      <c r="K44" s="68">
        <f t="shared" ref="K44:K49" si="57">H44-I44+J44</f>
        <v>3000000</v>
      </c>
      <c r="L44" s="68">
        <f>VLOOKUP(A44,JUN!$A$4:$K$99,11,0)</f>
        <v>0</v>
      </c>
      <c r="M44" s="76">
        <v>800000</v>
      </c>
      <c r="N44" s="68">
        <f t="shared" ref="N44:N49" si="58">K44-L44+M44</f>
        <v>3800000</v>
      </c>
      <c r="O44" s="68">
        <f>VLOOKUP(A44,JUL!$A$4:$K$99,11,0)</f>
        <v>0</v>
      </c>
      <c r="P44" s="76"/>
      <c r="Q44" s="68">
        <f t="shared" ref="Q44:Q49" si="59">N44-O44+P44</f>
        <v>3800000</v>
      </c>
      <c r="R44" s="175">
        <f>VLOOKUP(A44,AUG!$A$4:$K$99,11,0)</f>
        <v>0</v>
      </c>
      <c r="S44" s="76"/>
      <c r="T44" s="68">
        <f t="shared" ref="T44:T49" si="60">Q44-R44+S44</f>
        <v>3800000</v>
      </c>
      <c r="U44" s="76"/>
      <c r="V44" s="76">
        <v>800000</v>
      </c>
      <c r="W44" s="68">
        <f t="shared" ref="W44:W49" si="61">T44-U44+V44</f>
        <v>4600000</v>
      </c>
      <c r="X44" s="76"/>
      <c r="Y44" s="84"/>
      <c r="Z44" s="68">
        <f t="shared" ref="Z44:Z49" si="62">W44-X44+Y44</f>
        <v>4600000</v>
      </c>
      <c r="AA44" s="84"/>
      <c r="AB44" s="76"/>
      <c r="AC44" s="68">
        <f t="shared" ref="AC44:AC49" si="63">Z44-AA44+AB44</f>
        <v>4600000</v>
      </c>
      <c r="AD44" s="76"/>
      <c r="AE44" s="76">
        <v>800000</v>
      </c>
      <c r="AF44" s="68">
        <f t="shared" ref="AF44:AF49" si="64">AC44-AD44+AE44</f>
        <v>5400000</v>
      </c>
      <c r="AG44" s="76"/>
      <c r="AH44" s="76"/>
      <c r="AI44" s="68">
        <f t="shared" ref="AI44:AI49" si="65">AF44-AG44+AH44</f>
        <v>5400000</v>
      </c>
      <c r="AJ44" s="76"/>
      <c r="AK44" s="76"/>
      <c r="AL44" s="68">
        <f t="shared" ref="AL44:AL49" si="66">AI44-AJ44+AK44</f>
        <v>5400000</v>
      </c>
      <c r="AM44" s="77"/>
      <c r="AN44" s="78">
        <f t="shared" si="1"/>
        <v>5400000</v>
      </c>
      <c r="AO44" s="79">
        <f t="shared" si="2"/>
        <v>0</v>
      </c>
      <c r="AP44" s="78">
        <f t="shared" si="3"/>
        <v>5400000</v>
      </c>
      <c r="AQ44" s="79" t="s">
        <v>43</v>
      </c>
    </row>
    <row r="45" spans="1:43" x14ac:dyDescent="0.2">
      <c r="A45" s="42" t="s">
        <v>44</v>
      </c>
      <c r="B45" s="44"/>
      <c r="C45" s="44"/>
      <c r="D45" s="44"/>
      <c r="E45" s="99"/>
      <c r="F45" s="68">
        <f>VLOOKUP(A45,APR!$A$4:$K$99,11,0)</f>
        <v>0</v>
      </c>
      <c r="G45" s="76"/>
      <c r="H45" s="68">
        <f t="shared" si="56"/>
        <v>0</v>
      </c>
      <c r="I45" s="68">
        <f>VLOOKUP(A45,MAY!$A$4:$K$99,11,0)</f>
        <v>0</v>
      </c>
      <c r="J45" s="76"/>
      <c r="K45" s="68">
        <f t="shared" si="57"/>
        <v>0</v>
      </c>
      <c r="L45" s="68">
        <f>VLOOKUP(A45,JUN!$A$4:$K$99,11,0)</f>
        <v>0</v>
      </c>
      <c r="M45" s="76">
        <v>1000000</v>
      </c>
      <c r="N45" s="68">
        <f t="shared" si="58"/>
        <v>1000000</v>
      </c>
      <c r="O45" s="68">
        <f>VLOOKUP(A45,JUL!$A$4:$K$99,11,0)</f>
        <v>0</v>
      </c>
      <c r="P45" s="76"/>
      <c r="Q45" s="68">
        <f t="shared" si="59"/>
        <v>1000000</v>
      </c>
      <c r="R45" s="175">
        <f>VLOOKUP(A45,AUG!$A$4:$K$99,11,0)</f>
        <v>0</v>
      </c>
      <c r="S45" s="100"/>
      <c r="T45" s="68">
        <f t="shared" si="60"/>
        <v>1000000</v>
      </c>
      <c r="U45" s="100"/>
      <c r="V45" s="100"/>
      <c r="W45" s="68">
        <f t="shared" si="61"/>
        <v>1000000</v>
      </c>
      <c r="X45" s="100"/>
      <c r="Y45" s="100">
        <v>500000</v>
      </c>
      <c r="Z45" s="68">
        <f t="shared" si="62"/>
        <v>1500000</v>
      </c>
      <c r="AA45" s="100"/>
      <c r="AB45" s="100"/>
      <c r="AC45" s="68">
        <f t="shared" si="63"/>
        <v>1500000</v>
      </c>
      <c r="AD45" s="100"/>
      <c r="AE45" s="100"/>
      <c r="AF45" s="68">
        <f t="shared" si="64"/>
        <v>1500000</v>
      </c>
      <c r="AG45" s="100"/>
      <c r="AH45" s="100"/>
      <c r="AI45" s="68">
        <f t="shared" si="65"/>
        <v>1500000</v>
      </c>
      <c r="AJ45" s="100"/>
      <c r="AK45" s="100"/>
      <c r="AL45" s="68">
        <f t="shared" si="66"/>
        <v>1500000</v>
      </c>
      <c r="AM45" s="101"/>
      <c r="AN45" s="102">
        <f t="shared" si="1"/>
        <v>1500000</v>
      </c>
      <c r="AO45" s="103">
        <f t="shared" si="2"/>
        <v>0</v>
      </c>
      <c r="AP45" s="102">
        <f t="shared" si="3"/>
        <v>1500000</v>
      </c>
      <c r="AQ45" s="103" t="s">
        <v>45</v>
      </c>
    </row>
    <row r="46" spans="1:43" x14ac:dyDescent="0.2">
      <c r="A46" s="42" t="s">
        <v>46</v>
      </c>
      <c r="B46" s="44"/>
      <c r="C46" s="44"/>
      <c r="D46" s="44"/>
      <c r="E46" s="76">
        <v>100000</v>
      </c>
      <c r="F46" s="68">
        <f>VLOOKUP(A46,APR!$A$4:$K$99,11,0)</f>
        <v>0</v>
      </c>
      <c r="G46" s="76">
        <v>100000</v>
      </c>
      <c r="H46" s="68">
        <f t="shared" si="56"/>
        <v>200000</v>
      </c>
      <c r="I46" s="68">
        <f>VLOOKUP(A46,MAY!$A$4:$K$99,11,0)</f>
        <v>0</v>
      </c>
      <c r="J46" s="76">
        <v>100000</v>
      </c>
      <c r="K46" s="68">
        <f t="shared" si="57"/>
        <v>300000</v>
      </c>
      <c r="L46" s="68">
        <f>VLOOKUP(A46,JUN!$A$4:$K$99,11,0)</f>
        <v>0</v>
      </c>
      <c r="M46" s="76">
        <v>100000</v>
      </c>
      <c r="N46" s="68">
        <f t="shared" si="58"/>
        <v>400000</v>
      </c>
      <c r="O46" s="68">
        <f>VLOOKUP(A46,JUL!$A$4:$K$99,11,0)</f>
        <v>0</v>
      </c>
      <c r="P46" s="76">
        <v>100000</v>
      </c>
      <c r="Q46" s="68">
        <f t="shared" si="59"/>
        <v>500000</v>
      </c>
      <c r="R46" s="175">
        <f>VLOOKUP(A46,AUG!$A$4:$K$99,11,0)</f>
        <v>0</v>
      </c>
      <c r="S46" s="76">
        <v>100000</v>
      </c>
      <c r="T46" s="68">
        <f t="shared" si="60"/>
        <v>600000</v>
      </c>
      <c r="U46" s="76"/>
      <c r="V46" s="76">
        <v>100000</v>
      </c>
      <c r="W46" s="68">
        <f t="shared" si="61"/>
        <v>700000</v>
      </c>
      <c r="X46" s="76"/>
      <c r="Y46" s="76">
        <v>100000</v>
      </c>
      <c r="Z46" s="68">
        <f t="shared" si="62"/>
        <v>800000</v>
      </c>
      <c r="AA46" s="76"/>
      <c r="AB46" s="76">
        <v>100000</v>
      </c>
      <c r="AC46" s="68">
        <f t="shared" si="63"/>
        <v>900000</v>
      </c>
      <c r="AD46" s="76"/>
      <c r="AE46" s="76">
        <v>100000</v>
      </c>
      <c r="AF46" s="68">
        <f t="shared" si="64"/>
        <v>1000000</v>
      </c>
      <c r="AG46" s="76"/>
      <c r="AH46" s="76">
        <v>100000</v>
      </c>
      <c r="AI46" s="68">
        <f t="shared" si="65"/>
        <v>1100000</v>
      </c>
      <c r="AJ46" s="76"/>
      <c r="AK46" s="76">
        <v>100000</v>
      </c>
      <c r="AL46" s="68">
        <f t="shared" si="66"/>
        <v>1200000</v>
      </c>
      <c r="AM46" s="77"/>
      <c r="AN46" s="78">
        <f t="shared" si="1"/>
        <v>1200000</v>
      </c>
      <c r="AO46" s="79">
        <f t="shared" si="2"/>
        <v>0</v>
      </c>
      <c r="AP46" s="78">
        <f t="shared" si="3"/>
        <v>1200000</v>
      </c>
      <c r="AQ46" s="79" t="s">
        <v>47</v>
      </c>
    </row>
    <row r="47" spans="1:43" x14ac:dyDescent="0.2">
      <c r="A47" s="42" t="s">
        <v>48</v>
      </c>
      <c r="B47" s="44"/>
      <c r="C47" s="44"/>
      <c r="D47" s="44"/>
      <c r="E47" s="76">
        <f>6000000+3130000</f>
        <v>9130000</v>
      </c>
      <c r="F47" s="68">
        <f>VLOOKUP(A47,APR!$A$4:$K$99,11,0)</f>
        <v>0</v>
      </c>
      <c r="G47" s="76"/>
      <c r="H47" s="68">
        <f t="shared" si="56"/>
        <v>9130000</v>
      </c>
      <c r="I47" s="68">
        <f>VLOOKUP(A47,MAY!$A$4:$K$99,11,0)</f>
        <v>0</v>
      </c>
      <c r="J47" s="76"/>
      <c r="K47" s="68">
        <f t="shared" si="57"/>
        <v>9130000</v>
      </c>
      <c r="L47" s="68">
        <f>VLOOKUP(A47,JUN!$A$4:$K$99,11,0)</f>
        <v>141600</v>
      </c>
      <c r="M47" s="76"/>
      <c r="N47" s="68">
        <f t="shared" si="58"/>
        <v>8988400</v>
      </c>
      <c r="O47" s="68">
        <f>VLOOKUP(A47,JUL!$A$4:$K$99,11,0)</f>
        <v>0</v>
      </c>
      <c r="P47" s="76"/>
      <c r="Q47" s="68">
        <f t="shared" si="59"/>
        <v>8988400</v>
      </c>
      <c r="R47" s="175">
        <f>VLOOKUP(A47,AUG!$A$4:$K$99,11,0)</f>
        <v>153400</v>
      </c>
      <c r="S47" s="76"/>
      <c r="T47" s="68">
        <f t="shared" si="60"/>
        <v>8835000</v>
      </c>
      <c r="U47" s="76"/>
      <c r="V47" s="76"/>
      <c r="W47" s="68">
        <f t="shared" si="61"/>
        <v>8835000</v>
      </c>
      <c r="X47" s="76"/>
      <c r="Y47" s="76"/>
      <c r="Z47" s="68">
        <f t="shared" si="62"/>
        <v>8835000</v>
      </c>
      <c r="AA47" s="76"/>
      <c r="AB47" s="76"/>
      <c r="AC47" s="68">
        <f t="shared" si="63"/>
        <v>8835000</v>
      </c>
      <c r="AD47" s="76"/>
      <c r="AE47" s="76"/>
      <c r="AF47" s="68">
        <f t="shared" si="64"/>
        <v>8835000</v>
      </c>
      <c r="AG47" s="76"/>
      <c r="AH47" s="76"/>
      <c r="AI47" s="68">
        <f t="shared" si="65"/>
        <v>8835000</v>
      </c>
      <c r="AJ47" s="76"/>
      <c r="AK47" s="76"/>
      <c r="AL47" s="68">
        <f t="shared" si="66"/>
        <v>8835000</v>
      </c>
      <c r="AM47" s="77"/>
      <c r="AN47" s="78">
        <f t="shared" si="1"/>
        <v>9130000</v>
      </c>
      <c r="AO47" s="79">
        <f t="shared" si="2"/>
        <v>295000</v>
      </c>
      <c r="AP47" s="78">
        <f t="shared" si="3"/>
        <v>8835000</v>
      </c>
      <c r="AQ47" s="79" t="s">
        <v>49</v>
      </c>
    </row>
    <row r="48" spans="1:43" x14ac:dyDescent="0.2">
      <c r="A48" s="42" t="s">
        <v>50</v>
      </c>
      <c r="B48" s="44"/>
      <c r="C48" s="44"/>
      <c r="D48" s="44"/>
      <c r="E48" s="76">
        <v>50000</v>
      </c>
      <c r="F48" s="68">
        <f>VLOOKUP(A48,APR!$A$4:$K$99,11,0)</f>
        <v>0</v>
      </c>
      <c r="G48" s="76">
        <v>50000</v>
      </c>
      <c r="H48" s="68">
        <f t="shared" si="56"/>
        <v>100000</v>
      </c>
      <c r="I48" s="68">
        <f>VLOOKUP(A48,MAY!$A$4:$K$99,11,0)</f>
        <v>0</v>
      </c>
      <c r="J48" s="76">
        <v>50000</v>
      </c>
      <c r="K48" s="68">
        <f t="shared" si="57"/>
        <v>150000</v>
      </c>
      <c r="L48" s="68">
        <f>VLOOKUP(A48,JUN!$A$4:$K$99,11,0)</f>
        <v>0</v>
      </c>
      <c r="M48" s="76">
        <v>50000</v>
      </c>
      <c r="N48" s="68">
        <f t="shared" si="58"/>
        <v>200000</v>
      </c>
      <c r="O48" s="68">
        <f>VLOOKUP(A48,JUL!$A$4:$K$99,11,0)</f>
        <v>0</v>
      </c>
      <c r="P48" s="76">
        <v>50000</v>
      </c>
      <c r="Q48" s="68">
        <f t="shared" si="59"/>
        <v>250000</v>
      </c>
      <c r="R48" s="175">
        <f>VLOOKUP(A48,AUG!$A$4:$K$99,11,0)</f>
        <v>0</v>
      </c>
      <c r="S48" s="76">
        <v>50000</v>
      </c>
      <c r="T48" s="68">
        <f t="shared" si="60"/>
        <v>300000</v>
      </c>
      <c r="U48" s="76"/>
      <c r="V48" s="76">
        <v>50000</v>
      </c>
      <c r="W48" s="68">
        <f t="shared" si="61"/>
        <v>350000</v>
      </c>
      <c r="X48" s="76"/>
      <c r="Y48" s="76">
        <v>50000</v>
      </c>
      <c r="Z48" s="68">
        <f t="shared" si="62"/>
        <v>400000</v>
      </c>
      <c r="AA48" s="76"/>
      <c r="AB48" s="76">
        <v>50000</v>
      </c>
      <c r="AC48" s="68">
        <f t="shared" si="63"/>
        <v>450000</v>
      </c>
      <c r="AD48" s="76"/>
      <c r="AE48" s="76">
        <v>50000</v>
      </c>
      <c r="AF48" s="68">
        <f t="shared" si="64"/>
        <v>500000</v>
      </c>
      <c r="AG48" s="76"/>
      <c r="AH48" s="76">
        <v>50000</v>
      </c>
      <c r="AI48" s="68">
        <f t="shared" si="65"/>
        <v>550000</v>
      </c>
      <c r="AJ48" s="76"/>
      <c r="AK48" s="76">
        <v>50000</v>
      </c>
      <c r="AL48" s="68">
        <f t="shared" si="66"/>
        <v>600000</v>
      </c>
      <c r="AM48" s="77"/>
      <c r="AN48" s="78">
        <f t="shared" si="1"/>
        <v>600000</v>
      </c>
      <c r="AO48" s="79">
        <f t="shared" si="2"/>
        <v>0</v>
      </c>
      <c r="AP48" s="78">
        <f t="shared" si="3"/>
        <v>600000</v>
      </c>
      <c r="AQ48" s="79" t="s">
        <v>51</v>
      </c>
    </row>
    <row r="49" spans="1:42" x14ac:dyDescent="0.2">
      <c r="A49" s="42" t="s">
        <v>52</v>
      </c>
      <c r="B49" s="44"/>
      <c r="C49" s="44"/>
      <c r="D49" s="44"/>
      <c r="E49" s="76">
        <v>5000000</v>
      </c>
      <c r="F49" s="68">
        <f>VLOOKUP(A49,APR!$A$4:$K$99,11,0)</f>
        <v>0</v>
      </c>
      <c r="G49" s="76">
        <v>5000000</v>
      </c>
      <c r="H49" s="68">
        <f t="shared" si="56"/>
        <v>10000000</v>
      </c>
      <c r="I49" s="68">
        <f>VLOOKUP(A49,MAY!$A$4:$K$99,11,0)</f>
        <v>0</v>
      </c>
      <c r="J49" s="76">
        <v>5000000</v>
      </c>
      <c r="K49" s="68">
        <f t="shared" si="57"/>
        <v>15000000</v>
      </c>
      <c r="L49" s="68">
        <f>VLOOKUP(A49,JUN!$A$4:$K$99,11,0)</f>
        <v>0</v>
      </c>
      <c r="M49" s="76">
        <v>5000000</v>
      </c>
      <c r="N49" s="68">
        <f t="shared" si="58"/>
        <v>20000000</v>
      </c>
      <c r="O49" s="68">
        <f>VLOOKUP(A49,JUL!$A$4:$K$99,11,0)</f>
        <v>0</v>
      </c>
      <c r="P49" s="76">
        <v>5000000</v>
      </c>
      <c r="Q49" s="68">
        <f t="shared" si="59"/>
        <v>25000000</v>
      </c>
      <c r="R49" s="175">
        <f>VLOOKUP(A49,AUG!$A$4:$K$99,11,0)</f>
        <v>0</v>
      </c>
      <c r="S49" s="76">
        <v>3515200</v>
      </c>
      <c r="T49" s="68">
        <f t="shared" si="60"/>
        <v>28515200</v>
      </c>
      <c r="U49" s="76"/>
      <c r="V49" s="76"/>
      <c r="W49" s="68">
        <f t="shared" si="61"/>
        <v>28515200</v>
      </c>
      <c r="X49" s="76"/>
      <c r="Y49" s="76"/>
      <c r="Z49" s="68">
        <f t="shared" si="62"/>
        <v>28515200</v>
      </c>
      <c r="AA49" s="76"/>
      <c r="AB49" s="76"/>
      <c r="AC49" s="68">
        <f t="shared" si="63"/>
        <v>28515200</v>
      </c>
      <c r="AD49" s="76"/>
      <c r="AE49" s="76"/>
      <c r="AF49" s="68">
        <f t="shared" si="64"/>
        <v>28515200</v>
      </c>
      <c r="AG49" s="76"/>
      <c r="AH49" s="76"/>
      <c r="AI49" s="68">
        <f t="shared" si="65"/>
        <v>28515200</v>
      </c>
      <c r="AJ49" s="76"/>
      <c r="AK49" s="76"/>
      <c r="AL49" s="68">
        <f t="shared" si="66"/>
        <v>28515200</v>
      </c>
      <c r="AM49" s="77"/>
      <c r="AN49" s="78">
        <f t="shared" si="1"/>
        <v>28515200</v>
      </c>
      <c r="AO49" s="79">
        <f t="shared" si="2"/>
        <v>0</v>
      </c>
      <c r="AP49" s="78">
        <f t="shared" si="3"/>
        <v>28515200</v>
      </c>
    </row>
    <row r="50" spans="1:42" x14ac:dyDescent="0.2">
      <c r="A50" s="38" t="s">
        <v>43</v>
      </c>
      <c r="B50" s="39"/>
      <c r="C50" s="39"/>
      <c r="D50" s="39"/>
      <c r="E50" s="39">
        <f>SUM(E51:E54)</f>
        <v>9900000</v>
      </c>
      <c r="F50" s="39">
        <f t="shared" ref="F50:AM50" si="67">SUM(F51:F54)</f>
        <v>0</v>
      </c>
      <c r="G50" s="39">
        <f t="shared" si="67"/>
        <v>0</v>
      </c>
      <c r="H50" s="39">
        <f t="shared" si="67"/>
        <v>9900000</v>
      </c>
      <c r="I50" s="39">
        <f t="shared" si="67"/>
        <v>2612460</v>
      </c>
      <c r="J50" s="39">
        <f t="shared" si="67"/>
        <v>0</v>
      </c>
      <c r="K50" s="39">
        <f t="shared" si="67"/>
        <v>7287540</v>
      </c>
      <c r="L50" s="39">
        <f t="shared" si="67"/>
        <v>2865756.36</v>
      </c>
      <c r="M50" s="39">
        <f t="shared" si="67"/>
        <v>0</v>
      </c>
      <c r="N50" s="39">
        <f t="shared" si="67"/>
        <v>4421783.6400000006</v>
      </c>
      <c r="O50" s="39">
        <f t="shared" si="67"/>
        <v>5658731.7300000004</v>
      </c>
      <c r="P50" s="39">
        <f t="shared" si="67"/>
        <v>0</v>
      </c>
      <c r="Q50" s="39">
        <f t="shared" si="67"/>
        <v>-1236948.0900000003</v>
      </c>
      <c r="R50" s="39">
        <f t="shared" si="67"/>
        <v>585858</v>
      </c>
      <c r="S50" s="39">
        <f t="shared" si="67"/>
        <v>0</v>
      </c>
      <c r="T50" s="39">
        <f t="shared" si="67"/>
        <v>-1822806.0899999999</v>
      </c>
      <c r="U50" s="39">
        <f t="shared" si="67"/>
        <v>0</v>
      </c>
      <c r="V50" s="39">
        <f t="shared" si="67"/>
        <v>0</v>
      </c>
      <c r="W50" s="39">
        <f t="shared" si="67"/>
        <v>-1822806.0899999999</v>
      </c>
      <c r="X50" s="39">
        <f t="shared" si="67"/>
        <v>0</v>
      </c>
      <c r="Y50" s="39">
        <f t="shared" si="67"/>
        <v>0</v>
      </c>
      <c r="Z50" s="39">
        <f t="shared" si="67"/>
        <v>-1822806.0899999999</v>
      </c>
      <c r="AA50" s="39">
        <f t="shared" si="67"/>
        <v>0</v>
      </c>
      <c r="AB50" s="39">
        <f t="shared" si="67"/>
        <v>0</v>
      </c>
      <c r="AC50" s="39">
        <f t="shared" si="67"/>
        <v>-1822806.0899999999</v>
      </c>
      <c r="AD50" s="39">
        <f t="shared" si="67"/>
        <v>0</v>
      </c>
      <c r="AE50" s="39">
        <f t="shared" si="67"/>
        <v>0</v>
      </c>
      <c r="AF50" s="39">
        <f t="shared" si="67"/>
        <v>-1822806.0899999999</v>
      </c>
      <c r="AG50" s="39">
        <f t="shared" si="67"/>
        <v>0</v>
      </c>
      <c r="AH50" s="39">
        <f t="shared" si="67"/>
        <v>0</v>
      </c>
      <c r="AI50" s="39">
        <f t="shared" si="67"/>
        <v>-1822806.0899999999</v>
      </c>
      <c r="AJ50" s="39">
        <f t="shared" si="67"/>
        <v>0</v>
      </c>
      <c r="AK50" s="39">
        <f t="shared" si="67"/>
        <v>0</v>
      </c>
      <c r="AL50" s="39">
        <f t="shared" si="67"/>
        <v>-1822806.0899999999</v>
      </c>
      <c r="AM50" s="39">
        <f t="shared" si="67"/>
        <v>0</v>
      </c>
      <c r="AN50" s="51">
        <f t="shared" si="1"/>
        <v>9900000</v>
      </c>
      <c r="AO50" s="55">
        <f t="shared" si="2"/>
        <v>11722806.09</v>
      </c>
      <c r="AP50" s="51">
        <f t="shared" si="3"/>
        <v>-1822806.0899999999</v>
      </c>
    </row>
    <row r="51" spans="1:42" x14ac:dyDescent="0.2">
      <c r="A51" s="42" t="s">
        <v>47</v>
      </c>
      <c r="B51" s="44"/>
      <c r="C51" s="44"/>
      <c r="D51" s="44"/>
      <c r="E51" s="76">
        <v>2000000</v>
      </c>
      <c r="F51" s="68">
        <f>VLOOKUP(A51,APR!$A$4:$K$99,11,0)</f>
        <v>0</v>
      </c>
      <c r="G51" s="76"/>
      <c r="H51" s="68">
        <f t="shared" ref="H51:H54" si="68">E51-F51+G51</f>
        <v>2000000</v>
      </c>
      <c r="I51" s="68">
        <f>VLOOKUP(A51,MAY!$A$4:$K$99,11,0)</f>
        <v>2034260</v>
      </c>
      <c r="J51" s="76"/>
      <c r="K51" s="68">
        <f t="shared" ref="K51:K54" si="69">H51-I51+J51</f>
        <v>-34260</v>
      </c>
      <c r="L51" s="68">
        <f>VLOOKUP(A51,JUN!$A$4:$K$99,11,0)</f>
        <v>0</v>
      </c>
      <c r="M51" s="76"/>
      <c r="N51" s="68">
        <f t="shared" ref="N51:N54" si="70">K51-L51+M51</f>
        <v>-34260</v>
      </c>
      <c r="O51" s="68">
        <f>VLOOKUP(A51,JUL!$A$4:$K$99,11,0)</f>
        <v>0</v>
      </c>
      <c r="P51" s="76"/>
      <c r="Q51" s="68">
        <f t="shared" ref="Q51:Q54" si="71">N51-O51+P51</f>
        <v>-34260</v>
      </c>
      <c r="R51" s="175">
        <f>VLOOKUP(A51,AUG!$A$4:$K$99,11,0)</f>
        <v>0</v>
      </c>
      <c r="S51" s="76"/>
      <c r="T51" s="68">
        <f t="shared" ref="T51:T54" si="72">Q51-R51+S51</f>
        <v>-34260</v>
      </c>
      <c r="U51" s="76"/>
      <c r="V51" s="76"/>
      <c r="W51" s="68">
        <f t="shared" ref="W51:W54" si="73">T51-U51+V51</f>
        <v>-34260</v>
      </c>
      <c r="X51" s="76"/>
      <c r="Y51" s="76"/>
      <c r="Z51" s="68">
        <f t="shared" ref="Z51:Z54" si="74">W51-X51+Y51</f>
        <v>-34260</v>
      </c>
      <c r="AA51" s="76"/>
      <c r="AB51" s="76"/>
      <c r="AC51" s="68">
        <f t="shared" ref="AC51:AC54" si="75">Z51-AA51+AB51</f>
        <v>-34260</v>
      </c>
      <c r="AD51" s="76"/>
      <c r="AE51" s="76"/>
      <c r="AF51" s="68">
        <f t="shared" ref="AF51:AF54" si="76">AC51-AD51+AE51</f>
        <v>-34260</v>
      </c>
      <c r="AG51" s="76"/>
      <c r="AH51" s="76"/>
      <c r="AI51" s="68">
        <f t="shared" ref="AI51:AI54" si="77">AF51-AG51+AH51</f>
        <v>-34260</v>
      </c>
      <c r="AJ51" s="76"/>
      <c r="AK51" s="76"/>
      <c r="AL51" s="68">
        <f t="shared" ref="AL51:AL54" si="78">AI51-AJ51+AK51</f>
        <v>-34260</v>
      </c>
      <c r="AM51" s="77"/>
      <c r="AN51" s="78">
        <f t="shared" si="1"/>
        <v>2000000</v>
      </c>
      <c r="AO51" s="79">
        <f t="shared" si="2"/>
        <v>2034260</v>
      </c>
      <c r="AP51" s="78">
        <f t="shared" si="3"/>
        <v>-34260</v>
      </c>
    </row>
    <row r="52" spans="1:42" x14ac:dyDescent="0.2">
      <c r="A52" s="42" t="s">
        <v>45</v>
      </c>
      <c r="B52" s="44"/>
      <c r="C52" s="44"/>
      <c r="D52" s="44"/>
      <c r="E52" s="76">
        <v>4500000</v>
      </c>
      <c r="F52" s="68">
        <f>VLOOKUP(A52,APR!$A$4:$K$99,11,0)</f>
        <v>0</v>
      </c>
      <c r="G52" s="76"/>
      <c r="H52" s="68">
        <f t="shared" si="68"/>
        <v>4500000</v>
      </c>
      <c r="I52" s="68">
        <f>VLOOKUP(A52,MAY!$A$4:$K$99,11,0)</f>
        <v>0</v>
      </c>
      <c r="J52" s="76"/>
      <c r="K52" s="68">
        <f t="shared" si="69"/>
        <v>4500000</v>
      </c>
      <c r="L52" s="68">
        <f>VLOOKUP(A52,JUN!$A$4:$K$99,11,0)</f>
        <v>2865756.36</v>
      </c>
      <c r="M52" s="76"/>
      <c r="N52" s="68">
        <f t="shared" si="70"/>
        <v>1634243.6400000001</v>
      </c>
      <c r="O52" s="68">
        <f>VLOOKUP(A52,JUL!$A$4:$K$99,11,0)</f>
        <v>5658731.7300000004</v>
      </c>
      <c r="P52" s="76"/>
      <c r="Q52" s="68">
        <f t="shared" si="71"/>
        <v>-4024488.0900000003</v>
      </c>
      <c r="R52" s="175">
        <f>VLOOKUP(A52,AUG!$A$4:$K$99,11,0)</f>
        <v>585858</v>
      </c>
      <c r="S52" s="76"/>
      <c r="T52" s="68">
        <f t="shared" si="72"/>
        <v>-4610346.09</v>
      </c>
      <c r="U52" s="76"/>
      <c r="V52" s="76"/>
      <c r="W52" s="68">
        <f t="shared" si="73"/>
        <v>-4610346.09</v>
      </c>
      <c r="X52" s="76"/>
      <c r="Y52" s="76"/>
      <c r="Z52" s="68">
        <f t="shared" si="74"/>
        <v>-4610346.09</v>
      </c>
      <c r="AA52" s="76"/>
      <c r="AB52" s="76"/>
      <c r="AC52" s="68">
        <f t="shared" si="75"/>
        <v>-4610346.09</v>
      </c>
      <c r="AD52" s="76"/>
      <c r="AE52" s="76"/>
      <c r="AF52" s="68">
        <f t="shared" si="76"/>
        <v>-4610346.09</v>
      </c>
      <c r="AG52" s="76"/>
      <c r="AH52" s="76"/>
      <c r="AI52" s="68">
        <f t="shared" si="77"/>
        <v>-4610346.09</v>
      </c>
      <c r="AJ52" s="76"/>
      <c r="AK52" s="76"/>
      <c r="AL52" s="68">
        <f t="shared" si="78"/>
        <v>-4610346.09</v>
      </c>
      <c r="AM52" s="77"/>
      <c r="AN52" s="78">
        <f t="shared" si="1"/>
        <v>4500000</v>
      </c>
      <c r="AO52" s="79">
        <f t="shared" si="2"/>
        <v>9110346.0899999999</v>
      </c>
      <c r="AP52" s="78">
        <f t="shared" si="3"/>
        <v>-4610346.09</v>
      </c>
    </row>
    <row r="53" spans="1:42" x14ac:dyDescent="0.2">
      <c r="A53" s="42" t="s">
        <v>49</v>
      </c>
      <c r="B53" s="44"/>
      <c r="C53" s="44"/>
      <c r="D53" s="44"/>
      <c r="E53" s="76">
        <v>2800000</v>
      </c>
      <c r="F53" s="68">
        <f>VLOOKUP(A53,APR!$A$4:$K$99,11,0)</f>
        <v>0</v>
      </c>
      <c r="G53" s="76"/>
      <c r="H53" s="68">
        <f t="shared" si="68"/>
        <v>2800000</v>
      </c>
      <c r="I53" s="68">
        <f>VLOOKUP(A53,MAY!$A$4:$K$99,11,0)</f>
        <v>578200</v>
      </c>
      <c r="J53" s="76"/>
      <c r="K53" s="68">
        <f t="shared" si="69"/>
        <v>2221800</v>
      </c>
      <c r="L53" s="68">
        <f>VLOOKUP(A53,JUN!$A$4:$K$99,11,0)</f>
        <v>0</v>
      </c>
      <c r="M53" s="76"/>
      <c r="N53" s="68">
        <f t="shared" si="70"/>
        <v>2221800</v>
      </c>
      <c r="O53" s="68">
        <f>VLOOKUP(A53,JUL!$A$4:$K$99,11,0)</f>
        <v>0</v>
      </c>
      <c r="P53" s="76"/>
      <c r="Q53" s="68">
        <f t="shared" si="71"/>
        <v>2221800</v>
      </c>
      <c r="R53" s="175">
        <f>VLOOKUP(A53,AUG!$A$4:$K$99,11,0)</f>
        <v>0</v>
      </c>
      <c r="S53" s="76"/>
      <c r="T53" s="68">
        <f t="shared" si="72"/>
        <v>2221800</v>
      </c>
      <c r="U53" s="76"/>
      <c r="V53" s="76"/>
      <c r="W53" s="68">
        <f t="shared" si="73"/>
        <v>2221800</v>
      </c>
      <c r="X53" s="76"/>
      <c r="Y53" s="76"/>
      <c r="Z53" s="68">
        <f t="shared" si="74"/>
        <v>2221800</v>
      </c>
      <c r="AA53" s="76"/>
      <c r="AB53" s="76"/>
      <c r="AC53" s="68">
        <f t="shared" si="75"/>
        <v>2221800</v>
      </c>
      <c r="AD53" s="76"/>
      <c r="AE53" s="76"/>
      <c r="AF53" s="68">
        <f t="shared" si="76"/>
        <v>2221800</v>
      </c>
      <c r="AG53" s="76"/>
      <c r="AH53" s="76"/>
      <c r="AI53" s="68">
        <f t="shared" si="77"/>
        <v>2221800</v>
      </c>
      <c r="AJ53" s="76"/>
      <c r="AK53" s="76"/>
      <c r="AL53" s="68">
        <f t="shared" si="78"/>
        <v>2221800</v>
      </c>
      <c r="AM53" s="77"/>
      <c r="AN53" s="78">
        <f t="shared" si="1"/>
        <v>2800000</v>
      </c>
      <c r="AO53" s="79">
        <f t="shared" si="2"/>
        <v>578200</v>
      </c>
      <c r="AP53" s="78">
        <f t="shared" si="3"/>
        <v>2221800</v>
      </c>
    </row>
    <row r="54" spans="1:42" x14ac:dyDescent="0.2">
      <c r="A54" s="42" t="s">
        <v>51</v>
      </c>
      <c r="B54" s="44"/>
      <c r="C54" s="44"/>
      <c r="D54" s="44"/>
      <c r="E54" s="76">
        <v>600000</v>
      </c>
      <c r="F54" s="68">
        <f>VLOOKUP(A54,APR!$A$4:$K$99,11,0)</f>
        <v>0</v>
      </c>
      <c r="G54" s="76"/>
      <c r="H54" s="68">
        <f t="shared" si="68"/>
        <v>600000</v>
      </c>
      <c r="I54" s="68">
        <f>VLOOKUP(A54,MAY!$A$4:$K$99,11,0)</f>
        <v>0</v>
      </c>
      <c r="J54" s="76"/>
      <c r="K54" s="68">
        <f t="shared" si="69"/>
        <v>600000</v>
      </c>
      <c r="L54" s="68">
        <f>VLOOKUP(A54,JUN!$A$4:$K$99,11,0)</f>
        <v>0</v>
      </c>
      <c r="M54" s="76"/>
      <c r="N54" s="68">
        <f t="shared" si="70"/>
        <v>600000</v>
      </c>
      <c r="O54" s="68">
        <f>VLOOKUP(A54,JUL!$A$4:$K$99,11,0)</f>
        <v>0</v>
      </c>
      <c r="P54" s="76"/>
      <c r="Q54" s="68">
        <f t="shared" si="71"/>
        <v>600000</v>
      </c>
      <c r="R54" s="175">
        <f>VLOOKUP(A54,AUG!$A$4:$K$99,11,0)</f>
        <v>0</v>
      </c>
      <c r="S54" s="76"/>
      <c r="T54" s="68">
        <f t="shared" si="72"/>
        <v>600000</v>
      </c>
      <c r="U54" s="76"/>
      <c r="V54" s="76"/>
      <c r="W54" s="68">
        <f t="shared" si="73"/>
        <v>600000</v>
      </c>
      <c r="X54" s="76"/>
      <c r="Y54" s="76"/>
      <c r="Z54" s="68">
        <f t="shared" si="74"/>
        <v>600000</v>
      </c>
      <c r="AA54" s="76"/>
      <c r="AB54" s="76"/>
      <c r="AC54" s="68">
        <f t="shared" si="75"/>
        <v>600000</v>
      </c>
      <c r="AD54" s="76"/>
      <c r="AE54" s="76"/>
      <c r="AF54" s="68">
        <f t="shared" si="76"/>
        <v>600000</v>
      </c>
      <c r="AG54" s="76"/>
      <c r="AH54" s="76"/>
      <c r="AI54" s="68">
        <f t="shared" si="77"/>
        <v>600000</v>
      </c>
      <c r="AJ54" s="76"/>
      <c r="AK54" s="76"/>
      <c r="AL54" s="68">
        <f t="shared" si="78"/>
        <v>600000</v>
      </c>
      <c r="AM54" s="77"/>
      <c r="AN54" s="78">
        <f t="shared" si="1"/>
        <v>600000</v>
      </c>
      <c r="AO54" s="79">
        <f t="shared" si="2"/>
        <v>0</v>
      </c>
      <c r="AP54" s="78">
        <f t="shared" si="3"/>
        <v>600000</v>
      </c>
    </row>
    <row r="55" spans="1:42" s="2" customFormat="1" ht="15" x14ac:dyDescent="0.2">
      <c r="A55" s="38" t="s">
        <v>53</v>
      </c>
      <c r="B55" s="40"/>
      <c r="C55" s="40"/>
      <c r="D55" s="40"/>
      <c r="E55" s="43">
        <f t="shared" ref="E55:AM55" si="79">SUM(E56:E67)</f>
        <v>0</v>
      </c>
      <c r="F55" s="43">
        <f t="shared" si="79"/>
        <v>1156400</v>
      </c>
      <c r="G55" s="43">
        <f t="shared" si="79"/>
        <v>0</v>
      </c>
      <c r="H55" s="43">
        <f t="shared" si="79"/>
        <v>-1156400</v>
      </c>
      <c r="I55" s="43">
        <f t="shared" si="79"/>
        <v>32511207.699999999</v>
      </c>
      <c r="J55" s="43">
        <f t="shared" si="79"/>
        <v>0</v>
      </c>
      <c r="K55" s="43">
        <f t="shared" si="79"/>
        <v>-33667607.700000003</v>
      </c>
      <c r="L55" s="43">
        <f t="shared" si="79"/>
        <v>1024111.9199999999</v>
      </c>
      <c r="M55" s="43">
        <f t="shared" si="79"/>
        <v>8050000</v>
      </c>
      <c r="N55" s="43">
        <f t="shared" si="79"/>
        <v>-26641719.619999997</v>
      </c>
      <c r="O55" s="43">
        <f t="shared" si="79"/>
        <v>448400</v>
      </c>
      <c r="P55" s="43">
        <f t="shared" si="79"/>
        <v>0</v>
      </c>
      <c r="Q55" s="43">
        <f t="shared" si="79"/>
        <v>-27090119.619999997</v>
      </c>
      <c r="R55" s="43">
        <f t="shared" si="79"/>
        <v>42363</v>
      </c>
      <c r="S55" s="43">
        <f t="shared" si="79"/>
        <v>0</v>
      </c>
      <c r="T55" s="43">
        <f t="shared" si="79"/>
        <v>-27132482.619999997</v>
      </c>
      <c r="U55" s="43">
        <f t="shared" si="79"/>
        <v>0</v>
      </c>
      <c r="V55" s="43">
        <f t="shared" si="79"/>
        <v>0</v>
      </c>
      <c r="W55" s="43">
        <f t="shared" si="79"/>
        <v>-27132482.619999997</v>
      </c>
      <c r="X55" s="43">
        <f t="shared" si="79"/>
        <v>0</v>
      </c>
      <c r="Y55" s="43">
        <f t="shared" si="79"/>
        <v>0</v>
      </c>
      <c r="Z55" s="43">
        <f t="shared" si="79"/>
        <v>-27132482.619999997</v>
      </c>
      <c r="AA55" s="43">
        <f t="shared" si="79"/>
        <v>0</v>
      </c>
      <c r="AB55" s="43">
        <f t="shared" si="79"/>
        <v>0</v>
      </c>
      <c r="AC55" s="43">
        <f t="shared" si="79"/>
        <v>-27132482.619999997</v>
      </c>
      <c r="AD55" s="43">
        <f t="shared" si="79"/>
        <v>0</v>
      </c>
      <c r="AE55" s="43">
        <f t="shared" si="79"/>
        <v>0</v>
      </c>
      <c r="AF55" s="43">
        <f t="shared" si="79"/>
        <v>-27132482.619999997</v>
      </c>
      <c r="AG55" s="43">
        <f t="shared" si="79"/>
        <v>0</v>
      </c>
      <c r="AH55" s="43">
        <f t="shared" si="79"/>
        <v>0</v>
      </c>
      <c r="AI55" s="43">
        <f t="shared" si="79"/>
        <v>-27132482.619999997</v>
      </c>
      <c r="AJ55" s="43">
        <f t="shared" si="79"/>
        <v>0</v>
      </c>
      <c r="AK55" s="43">
        <f t="shared" si="79"/>
        <v>0</v>
      </c>
      <c r="AL55" s="43">
        <f t="shared" si="79"/>
        <v>-27132482.619999997</v>
      </c>
      <c r="AM55" s="43">
        <f t="shared" si="79"/>
        <v>0</v>
      </c>
      <c r="AN55" s="53">
        <f t="shared" si="1"/>
        <v>8050000</v>
      </c>
      <c r="AO55" s="57">
        <f t="shared" si="2"/>
        <v>35182482.620000005</v>
      </c>
      <c r="AP55" s="53">
        <f t="shared" si="3"/>
        <v>-27132482.620000005</v>
      </c>
    </row>
    <row r="56" spans="1:42" x14ac:dyDescent="0.2">
      <c r="A56" s="37" t="s">
        <v>54</v>
      </c>
      <c r="B56" s="40"/>
      <c r="C56" s="40"/>
      <c r="D56" s="40"/>
      <c r="E56" s="83"/>
      <c r="F56" s="68">
        <f>VLOOKUP(A56,APR!$A$4:$K$99,11,0)</f>
        <v>0</v>
      </c>
      <c r="G56" s="83"/>
      <c r="H56" s="68">
        <f t="shared" ref="H56:H67" si="80">E56-F56+G56</f>
        <v>0</v>
      </c>
      <c r="I56" s="68">
        <f>VLOOKUP(A56,MAY!$A$4:$K$99,11,0)</f>
        <v>21373716</v>
      </c>
      <c r="J56" s="83"/>
      <c r="K56" s="68">
        <f t="shared" ref="K56:K67" si="81">H56-I56+J56</f>
        <v>-21373716</v>
      </c>
      <c r="L56" s="68">
        <f>VLOOKUP(A56,JUN!$A$4:$K$99,11,0)</f>
        <v>0</v>
      </c>
      <c r="M56" s="83">
        <v>1000000</v>
      </c>
      <c r="N56" s="68">
        <f t="shared" ref="N56:N67" si="82">K56-L56+M56</f>
        <v>-20373716</v>
      </c>
      <c r="O56" s="68">
        <f>VLOOKUP(A56,JUL!$A$4:$K$99,11,0)</f>
        <v>0</v>
      </c>
      <c r="P56" s="83"/>
      <c r="Q56" s="68">
        <f t="shared" ref="Q56:Q67" si="83">N56-O56+P56</f>
        <v>-20373716</v>
      </c>
      <c r="R56" s="175">
        <f>VLOOKUP(A56,AUG!$A$4:$K$99,11,0)</f>
        <v>0</v>
      </c>
      <c r="S56" s="83"/>
      <c r="T56" s="68">
        <f t="shared" ref="T56:T67" si="84">Q56-R56+S56</f>
        <v>-20373716</v>
      </c>
      <c r="U56" s="83"/>
      <c r="V56" s="83"/>
      <c r="W56" s="68">
        <f t="shared" ref="W56:W67" si="85">T56-U56+V56</f>
        <v>-20373716</v>
      </c>
      <c r="X56" s="83"/>
      <c r="Y56" s="83"/>
      <c r="Z56" s="68">
        <f t="shared" ref="Z56:Z67" si="86">W56-X56+Y56</f>
        <v>-20373716</v>
      </c>
      <c r="AA56" s="83"/>
      <c r="AB56" s="83"/>
      <c r="AC56" s="68">
        <f t="shared" ref="AC56:AC67" si="87">Z56-AA56+AB56</f>
        <v>-20373716</v>
      </c>
      <c r="AD56" s="83"/>
      <c r="AE56" s="83"/>
      <c r="AF56" s="68">
        <f t="shared" ref="AF56:AF67" si="88">AC56-AD56+AE56</f>
        <v>-20373716</v>
      </c>
      <c r="AG56" s="83"/>
      <c r="AH56" s="83"/>
      <c r="AI56" s="68">
        <f t="shared" ref="AI56:AI67" si="89">AF56-AG56+AH56</f>
        <v>-20373716</v>
      </c>
      <c r="AJ56" s="83"/>
      <c r="AK56" s="83"/>
      <c r="AL56" s="68">
        <f t="shared" ref="AL56:AL67" si="90">AI56-AJ56+AK56</f>
        <v>-20373716</v>
      </c>
      <c r="AM56" s="94"/>
      <c r="AN56" s="95">
        <f t="shared" si="1"/>
        <v>1000000</v>
      </c>
      <c r="AO56" s="96">
        <f t="shared" si="2"/>
        <v>21373716</v>
      </c>
      <c r="AP56" s="95">
        <f t="shared" si="3"/>
        <v>-20373716</v>
      </c>
    </row>
    <row r="57" spans="1:42" x14ac:dyDescent="0.2">
      <c r="A57" s="37" t="s">
        <v>55</v>
      </c>
      <c r="B57" s="40"/>
      <c r="C57" s="40"/>
      <c r="D57" s="40"/>
      <c r="E57" s="83"/>
      <c r="F57" s="68">
        <f>VLOOKUP(A57,APR!$A$4:$K$99,11,0)</f>
        <v>0</v>
      </c>
      <c r="G57" s="83"/>
      <c r="H57" s="68">
        <f t="shared" si="80"/>
        <v>0</v>
      </c>
      <c r="I57" s="68">
        <f>VLOOKUP(A57,MAY!$A$4:$K$99,11,0)</f>
        <v>0</v>
      </c>
      <c r="J57" s="83"/>
      <c r="K57" s="68">
        <f t="shared" si="81"/>
        <v>0</v>
      </c>
      <c r="L57" s="68">
        <f>VLOOKUP(A57,JUN!$A$4:$K$99,11,0)</f>
        <v>0</v>
      </c>
      <c r="M57" s="83">
        <v>500000</v>
      </c>
      <c r="N57" s="68">
        <f t="shared" si="82"/>
        <v>500000</v>
      </c>
      <c r="O57" s="68">
        <f>VLOOKUP(A57,JUL!$A$4:$K$99,11,0)</f>
        <v>0</v>
      </c>
      <c r="P57" s="83"/>
      <c r="Q57" s="68">
        <f t="shared" si="83"/>
        <v>500000</v>
      </c>
      <c r="R57" s="175">
        <f>VLOOKUP(A57,AUG!$A$4:$K$99,11,0)</f>
        <v>0</v>
      </c>
      <c r="S57" s="83"/>
      <c r="T57" s="68">
        <f t="shared" si="84"/>
        <v>500000</v>
      </c>
      <c r="U57" s="83"/>
      <c r="V57" s="83"/>
      <c r="W57" s="68">
        <f t="shared" si="85"/>
        <v>500000</v>
      </c>
      <c r="X57" s="83"/>
      <c r="Y57" s="83"/>
      <c r="Z57" s="68">
        <f t="shared" si="86"/>
        <v>500000</v>
      </c>
      <c r="AA57" s="83"/>
      <c r="AB57" s="83"/>
      <c r="AC57" s="68">
        <f t="shared" si="87"/>
        <v>500000</v>
      </c>
      <c r="AD57" s="83"/>
      <c r="AE57" s="83"/>
      <c r="AF57" s="68">
        <f t="shared" si="88"/>
        <v>500000</v>
      </c>
      <c r="AG57" s="83"/>
      <c r="AH57" s="83"/>
      <c r="AI57" s="68">
        <f t="shared" si="89"/>
        <v>500000</v>
      </c>
      <c r="AJ57" s="83"/>
      <c r="AK57" s="83"/>
      <c r="AL57" s="68">
        <f t="shared" si="90"/>
        <v>500000</v>
      </c>
      <c r="AM57" s="94"/>
      <c r="AN57" s="95">
        <f t="shared" si="1"/>
        <v>500000</v>
      </c>
      <c r="AO57" s="96">
        <f t="shared" si="2"/>
        <v>0</v>
      </c>
      <c r="AP57" s="95">
        <f t="shared" si="3"/>
        <v>500000</v>
      </c>
    </row>
    <row r="58" spans="1:42" x14ac:dyDescent="0.2">
      <c r="A58" s="37" t="s">
        <v>56</v>
      </c>
      <c r="B58" s="40"/>
      <c r="C58" s="40"/>
      <c r="D58" s="40"/>
      <c r="E58" s="83"/>
      <c r="F58" s="68">
        <f>VLOOKUP(A58,APR!$A$4:$K$99,11,0)</f>
        <v>0</v>
      </c>
      <c r="G58" s="83"/>
      <c r="H58" s="68">
        <f t="shared" si="80"/>
        <v>0</v>
      </c>
      <c r="I58" s="68">
        <f>VLOOKUP(A58,MAY!$A$4:$K$99,11,0)</f>
        <v>0</v>
      </c>
      <c r="J58" s="83"/>
      <c r="K58" s="68">
        <f t="shared" si="81"/>
        <v>0</v>
      </c>
      <c r="L58" s="68">
        <f>VLOOKUP(A58,JUN!$A$4:$K$99,11,0)</f>
        <v>0</v>
      </c>
      <c r="M58" s="83">
        <v>300000</v>
      </c>
      <c r="N58" s="68">
        <f t="shared" si="82"/>
        <v>300000</v>
      </c>
      <c r="O58" s="68">
        <f>VLOOKUP(A58,JUL!$A$4:$K$99,11,0)</f>
        <v>0</v>
      </c>
      <c r="P58" s="83"/>
      <c r="Q58" s="68">
        <f t="shared" si="83"/>
        <v>300000</v>
      </c>
      <c r="R58" s="175">
        <f>VLOOKUP(A58,AUG!$A$4:$K$99,11,0)</f>
        <v>0</v>
      </c>
      <c r="S58" s="83"/>
      <c r="T58" s="68">
        <f t="shared" si="84"/>
        <v>300000</v>
      </c>
      <c r="U58" s="83"/>
      <c r="V58" s="83"/>
      <c r="W58" s="68">
        <f t="shared" si="85"/>
        <v>300000</v>
      </c>
      <c r="X58" s="83"/>
      <c r="Y58" s="83"/>
      <c r="Z58" s="68">
        <f t="shared" si="86"/>
        <v>300000</v>
      </c>
      <c r="AA58" s="83"/>
      <c r="AB58" s="83"/>
      <c r="AC58" s="68">
        <f t="shared" si="87"/>
        <v>300000</v>
      </c>
      <c r="AD58" s="83"/>
      <c r="AE58" s="83"/>
      <c r="AF58" s="68">
        <f t="shared" si="88"/>
        <v>300000</v>
      </c>
      <c r="AG58" s="83"/>
      <c r="AH58" s="83"/>
      <c r="AI58" s="68">
        <f t="shared" si="89"/>
        <v>300000</v>
      </c>
      <c r="AJ58" s="83"/>
      <c r="AK58" s="83"/>
      <c r="AL58" s="68">
        <f t="shared" si="90"/>
        <v>300000</v>
      </c>
      <c r="AM58" s="94"/>
      <c r="AN58" s="95">
        <f t="shared" si="1"/>
        <v>300000</v>
      </c>
      <c r="AO58" s="96">
        <f t="shared" si="2"/>
        <v>0</v>
      </c>
      <c r="AP58" s="95">
        <f t="shared" si="3"/>
        <v>300000</v>
      </c>
    </row>
    <row r="59" spans="1:42" x14ac:dyDescent="0.2">
      <c r="A59" s="37" t="s">
        <v>57</v>
      </c>
      <c r="B59" s="40"/>
      <c r="C59" s="40"/>
      <c r="D59" s="40"/>
      <c r="E59" s="83"/>
      <c r="F59" s="68">
        <f>VLOOKUP(A59,APR!$A$4:$K$99,11,0)</f>
        <v>1156400</v>
      </c>
      <c r="G59" s="83"/>
      <c r="H59" s="68">
        <f t="shared" si="80"/>
        <v>-1156400</v>
      </c>
      <c r="I59" s="68">
        <f>VLOOKUP(A59,MAY!$A$4:$K$99,11,0)</f>
        <v>1287586.7999999998</v>
      </c>
      <c r="J59" s="83"/>
      <c r="K59" s="68">
        <f t="shared" si="81"/>
        <v>-2443986.7999999998</v>
      </c>
      <c r="L59" s="68">
        <f>VLOOKUP(A59,JUN!$A$4:$K$99,11,0)</f>
        <v>714971.91999999993</v>
      </c>
      <c r="M59" s="83">
        <v>2000000</v>
      </c>
      <c r="N59" s="68">
        <f t="shared" si="82"/>
        <v>-1158958.7199999997</v>
      </c>
      <c r="O59" s="68">
        <f>VLOOKUP(A59,JUL!$A$4:$K$99,11,0)</f>
        <v>448400</v>
      </c>
      <c r="P59" s="83"/>
      <c r="Q59" s="68">
        <f t="shared" si="83"/>
        <v>-1607358.7199999997</v>
      </c>
      <c r="R59" s="175">
        <f>VLOOKUP(A59,AUG!$A$4:$K$99,11,0)</f>
        <v>42363</v>
      </c>
      <c r="S59" s="83"/>
      <c r="T59" s="68">
        <f t="shared" si="84"/>
        <v>-1649721.7199999997</v>
      </c>
      <c r="U59" s="83"/>
      <c r="V59" s="83"/>
      <c r="W59" s="68">
        <f t="shared" si="85"/>
        <v>-1649721.7199999997</v>
      </c>
      <c r="X59" s="83"/>
      <c r="Y59" s="83"/>
      <c r="Z59" s="68">
        <f t="shared" si="86"/>
        <v>-1649721.7199999997</v>
      </c>
      <c r="AA59" s="83"/>
      <c r="AB59" s="83"/>
      <c r="AC59" s="68">
        <f t="shared" si="87"/>
        <v>-1649721.7199999997</v>
      </c>
      <c r="AD59" s="83"/>
      <c r="AE59" s="83"/>
      <c r="AF59" s="68">
        <f t="shared" si="88"/>
        <v>-1649721.7199999997</v>
      </c>
      <c r="AG59" s="83"/>
      <c r="AH59" s="83"/>
      <c r="AI59" s="68">
        <f t="shared" si="89"/>
        <v>-1649721.7199999997</v>
      </c>
      <c r="AJ59" s="83"/>
      <c r="AK59" s="83"/>
      <c r="AL59" s="68">
        <f t="shared" si="90"/>
        <v>-1649721.7199999997</v>
      </c>
      <c r="AM59" s="94"/>
      <c r="AN59" s="95">
        <f t="shared" si="1"/>
        <v>2000000</v>
      </c>
      <c r="AO59" s="96">
        <f t="shared" si="2"/>
        <v>3649721.7199999997</v>
      </c>
      <c r="AP59" s="95">
        <f t="shared" si="3"/>
        <v>-1649721.7199999997</v>
      </c>
    </row>
    <row r="60" spans="1:42" x14ac:dyDescent="0.2">
      <c r="A60" s="37" t="s">
        <v>58</v>
      </c>
      <c r="B60" s="40"/>
      <c r="C60" s="40"/>
      <c r="D60" s="40"/>
      <c r="E60" s="83"/>
      <c r="F60" s="68">
        <f>VLOOKUP(A60,APR!$A$4:$K$99,11,0)</f>
        <v>0</v>
      </c>
      <c r="G60" s="83"/>
      <c r="H60" s="68">
        <f t="shared" si="80"/>
        <v>0</v>
      </c>
      <c r="I60" s="68">
        <f>VLOOKUP(A60,MAY!$A$4:$K$99,11,0)</f>
        <v>0</v>
      </c>
      <c r="J60" s="83"/>
      <c r="K60" s="68">
        <f t="shared" si="81"/>
        <v>0</v>
      </c>
      <c r="L60" s="68">
        <f>VLOOKUP(A60,JUN!$A$4:$K$99,11,0)</f>
        <v>0</v>
      </c>
      <c r="M60" s="83">
        <v>100000</v>
      </c>
      <c r="N60" s="68">
        <f t="shared" si="82"/>
        <v>100000</v>
      </c>
      <c r="O60" s="68">
        <f>VLOOKUP(A60,JUL!$A$4:$K$99,11,0)</f>
        <v>0</v>
      </c>
      <c r="P60" s="83"/>
      <c r="Q60" s="68">
        <f t="shared" si="83"/>
        <v>100000</v>
      </c>
      <c r="R60" s="175">
        <f>VLOOKUP(A60,AUG!$A$4:$K$99,11,0)</f>
        <v>0</v>
      </c>
      <c r="S60" s="83"/>
      <c r="T60" s="68">
        <f t="shared" si="84"/>
        <v>100000</v>
      </c>
      <c r="U60" s="83"/>
      <c r="V60" s="83"/>
      <c r="W60" s="68">
        <f t="shared" si="85"/>
        <v>100000</v>
      </c>
      <c r="X60" s="83"/>
      <c r="Y60" s="83"/>
      <c r="Z60" s="68">
        <f t="shared" si="86"/>
        <v>100000</v>
      </c>
      <c r="AA60" s="83"/>
      <c r="AB60" s="83"/>
      <c r="AC60" s="68">
        <f t="shared" si="87"/>
        <v>100000</v>
      </c>
      <c r="AD60" s="83"/>
      <c r="AE60" s="83"/>
      <c r="AF60" s="68">
        <f t="shared" si="88"/>
        <v>100000</v>
      </c>
      <c r="AG60" s="83"/>
      <c r="AH60" s="83"/>
      <c r="AI60" s="68">
        <f t="shared" si="89"/>
        <v>100000</v>
      </c>
      <c r="AJ60" s="83"/>
      <c r="AK60" s="83"/>
      <c r="AL60" s="68">
        <f t="shared" si="90"/>
        <v>100000</v>
      </c>
      <c r="AM60" s="94"/>
      <c r="AN60" s="95">
        <f t="shared" si="1"/>
        <v>100000</v>
      </c>
      <c r="AO60" s="96">
        <f t="shared" si="2"/>
        <v>0</v>
      </c>
      <c r="AP60" s="95">
        <f t="shared" si="3"/>
        <v>100000</v>
      </c>
    </row>
    <row r="61" spans="1:42" x14ac:dyDescent="0.2">
      <c r="A61" s="37" t="s">
        <v>59</v>
      </c>
      <c r="B61" s="40"/>
      <c r="C61" s="40"/>
      <c r="D61" s="40"/>
      <c r="E61" s="81"/>
      <c r="F61" s="68">
        <f>VLOOKUP(A61,APR!$A$4:$K$99,11,0)</f>
        <v>0</v>
      </c>
      <c r="G61" s="81"/>
      <c r="H61" s="68">
        <f t="shared" si="80"/>
        <v>0</v>
      </c>
      <c r="I61" s="68">
        <f>VLOOKUP(A61,MAY!$A$4:$K$99,11,0)</f>
        <v>0</v>
      </c>
      <c r="J61" s="80"/>
      <c r="K61" s="68">
        <f t="shared" si="81"/>
        <v>0</v>
      </c>
      <c r="L61" s="68">
        <f>VLOOKUP(A61,JUN!$A$4:$K$99,11,0)</f>
        <v>0</v>
      </c>
      <c r="M61" s="83">
        <v>100000</v>
      </c>
      <c r="N61" s="68">
        <f t="shared" si="82"/>
        <v>100000</v>
      </c>
      <c r="O61" s="68">
        <f>VLOOKUP(A61,JUL!$A$4:$K$99,11,0)</f>
        <v>0</v>
      </c>
      <c r="P61" s="83"/>
      <c r="Q61" s="68">
        <f t="shared" si="83"/>
        <v>100000</v>
      </c>
      <c r="R61" s="175">
        <f>VLOOKUP(A61,AUG!$A$4:$K$99,11,0)</f>
        <v>0</v>
      </c>
      <c r="S61" s="83"/>
      <c r="T61" s="68">
        <f t="shared" si="84"/>
        <v>100000</v>
      </c>
      <c r="U61" s="83"/>
      <c r="V61" s="83"/>
      <c r="W61" s="68">
        <f t="shared" si="85"/>
        <v>100000</v>
      </c>
      <c r="X61" s="83"/>
      <c r="Y61" s="83"/>
      <c r="Z61" s="68">
        <f t="shared" si="86"/>
        <v>100000</v>
      </c>
      <c r="AA61" s="83"/>
      <c r="AB61" s="83"/>
      <c r="AC61" s="68">
        <f t="shared" si="87"/>
        <v>100000</v>
      </c>
      <c r="AD61" s="83"/>
      <c r="AE61" s="83"/>
      <c r="AF61" s="68">
        <f t="shared" si="88"/>
        <v>100000</v>
      </c>
      <c r="AG61" s="83"/>
      <c r="AH61" s="83"/>
      <c r="AI61" s="68">
        <f t="shared" si="89"/>
        <v>100000</v>
      </c>
      <c r="AJ61" s="83"/>
      <c r="AK61" s="83"/>
      <c r="AL61" s="68">
        <f t="shared" si="90"/>
        <v>100000</v>
      </c>
      <c r="AM61" s="94"/>
      <c r="AN61" s="95">
        <f t="shared" si="1"/>
        <v>100000</v>
      </c>
      <c r="AO61" s="96">
        <f t="shared" si="2"/>
        <v>0</v>
      </c>
      <c r="AP61" s="95">
        <f t="shared" si="3"/>
        <v>100000</v>
      </c>
    </row>
    <row r="62" spans="1:42" x14ac:dyDescent="0.2">
      <c r="A62" s="37" t="s">
        <v>60</v>
      </c>
      <c r="B62" s="40"/>
      <c r="C62" s="40"/>
      <c r="D62" s="40"/>
      <c r="E62" s="81"/>
      <c r="F62" s="68">
        <f>VLOOKUP(A62,APR!$A$4:$K$99,11,0)</f>
        <v>0</v>
      </c>
      <c r="G62" s="81"/>
      <c r="H62" s="68">
        <f t="shared" si="80"/>
        <v>0</v>
      </c>
      <c r="I62" s="68">
        <f>VLOOKUP(A62,MAY!$A$4:$K$99,11,0)</f>
        <v>0</v>
      </c>
      <c r="J62" s="80"/>
      <c r="K62" s="68">
        <f t="shared" si="81"/>
        <v>0</v>
      </c>
      <c r="L62" s="68">
        <f>VLOOKUP(A62,JUN!$A$4:$K$99,11,0)</f>
        <v>0</v>
      </c>
      <c r="M62" s="83">
        <f>700000</f>
        <v>700000</v>
      </c>
      <c r="N62" s="68">
        <f t="shared" si="82"/>
        <v>700000</v>
      </c>
      <c r="O62" s="68">
        <f>VLOOKUP(A62,JUL!$A$4:$K$99,11,0)</f>
        <v>0</v>
      </c>
      <c r="P62" s="83"/>
      <c r="Q62" s="68">
        <f t="shared" si="83"/>
        <v>700000</v>
      </c>
      <c r="R62" s="175">
        <f>VLOOKUP(A62,AUG!$A$4:$K$99,11,0)</f>
        <v>0</v>
      </c>
      <c r="S62" s="83"/>
      <c r="T62" s="68">
        <f t="shared" si="84"/>
        <v>700000</v>
      </c>
      <c r="U62" s="83"/>
      <c r="V62" s="83"/>
      <c r="W62" s="68">
        <f t="shared" si="85"/>
        <v>700000</v>
      </c>
      <c r="X62" s="83"/>
      <c r="Y62" s="83"/>
      <c r="Z62" s="68">
        <f t="shared" si="86"/>
        <v>700000</v>
      </c>
      <c r="AA62" s="83"/>
      <c r="AB62" s="83"/>
      <c r="AC62" s="68">
        <f t="shared" si="87"/>
        <v>700000</v>
      </c>
      <c r="AD62" s="83"/>
      <c r="AE62" s="83"/>
      <c r="AF62" s="68">
        <f t="shared" si="88"/>
        <v>700000</v>
      </c>
      <c r="AG62" s="83"/>
      <c r="AH62" s="83"/>
      <c r="AI62" s="68">
        <f t="shared" si="89"/>
        <v>700000</v>
      </c>
      <c r="AJ62" s="83"/>
      <c r="AK62" s="83"/>
      <c r="AL62" s="68">
        <f t="shared" si="90"/>
        <v>700000</v>
      </c>
      <c r="AM62" s="94"/>
      <c r="AN62" s="95">
        <f t="shared" si="1"/>
        <v>700000</v>
      </c>
      <c r="AO62" s="96">
        <f t="shared" si="2"/>
        <v>0</v>
      </c>
      <c r="AP62" s="95">
        <f t="shared" si="3"/>
        <v>700000</v>
      </c>
    </row>
    <row r="63" spans="1:42" x14ac:dyDescent="0.2">
      <c r="A63" s="37" t="s">
        <v>61</v>
      </c>
      <c r="B63" s="40"/>
      <c r="C63" s="40"/>
      <c r="D63" s="40"/>
      <c r="E63" s="83"/>
      <c r="F63" s="68">
        <f>VLOOKUP(A63,APR!$A$4:$K$99,11,0)</f>
        <v>0</v>
      </c>
      <c r="G63" s="83"/>
      <c r="H63" s="68">
        <f t="shared" si="80"/>
        <v>0</v>
      </c>
      <c r="I63" s="68">
        <f>VLOOKUP(A63,MAY!$A$4:$K$99,11,0)</f>
        <v>7413000</v>
      </c>
      <c r="J63" s="83"/>
      <c r="K63" s="68">
        <f t="shared" si="81"/>
        <v>-7413000</v>
      </c>
      <c r="L63" s="68">
        <f>VLOOKUP(A63,JUN!$A$4:$K$99,11,0)</f>
        <v>0</v>
      </c>
      <c r="M63" s="83">
        <f>2000000</f>
        <v>2000000</v>
      </c>
      <c r="N63" s="68">
        <f t="shared" si="82"/>
        <v>-5413000</v>
      </c>
      <c r="O63" s="68">
        <f>VLOOKUP(A63,JUL!$A$4:$K$99,11,0)</f>
        <v>0</v>
      </c>
      <c r="P63" s="83"/>
      <c r="Q63" s="68">
        <f t="shared" si="83"/>
        <v>-5413000</v>
      </c>
      <c r="R63" s="175">
        <f>VLOOKUP(A63,AUG!$A$4:$K$99,11,0)</f>
        <v>0</v>
      </c>
      <c r="S63" s="83"/>
      <c r="T63" s="68">
        <f t="shared" si="84"/>
        <v>-5413000</v>
      </c>
      <c r="U63" s="83"/>
      <c r="V63" s="83"/>
      <c r="W63" s="68">
        <f t="shared" si="85"/>
        <v>-5413000</v>
      </c>
      <c r="X63" s="83"/>
      <c r="Y63" s="83"/>
      <c r="Z63" s="68">
        <f t="shared" si="86"/>
        <v>-5413000</v>
      </c>
      <c r="AA63" s="83"/>
      <c r="AB63" s="83"/>
      <c r="AC63" s="68">
        <f t="shared" si="87"/>
        <v>-5413000</v>
      </c>
      <c r="AD63" s="83"/>
      <c r="AE63" s="83"/>
      <c r="AF63" s="68">
        <f t="shared" si="88"/>
        <v>-5413000</v>
      </c>
      <c r="AG63" s="83"/>
      <c r="AH63" s="83"/>
      <c r="AI63" s="68">
        <f t="shared" si="89"/>
        <v>-5413000</v>
      </c>
      <c r="AJ63" s="83"/>
      <c r="AK63" s="83"/>
      <c r="AL63" s="68">
        <f t="shared" si="90"/>
        <v>-5413000</v>
      </c>
      <c r="AM63" s="94"/>
      <c r="AN63" s="95">
        <f t="shared" si="1"/>
        <v>2000000</v>
      </c>
      <c r="AO63" s="96">
        <f t="shared" si="2"/>
        <v>7413000</v>
      </c>
      <c r="AP63" s="95">
        <f t="shared" si="3"/>
        <v>-5413000</v>
      </c>
    </row>
    <row r="64" spans="1:42" x14ac:dyDescent="0.2">
      <c r="A64" s="37" t="s">
        <v>62</v>
      </c>
      <c r="B64" s="40"/>
      <c r="C64" s="40"/>
      <c r="D64" s="40"/>
      <c r="E64" s="81"/>
      <c r="F64" s="68">
        <f>VLOOKUP(A64,APR!$A$4:$K$99,11,0)</f>
        <v>0</v>
      </c>
      <c r="G64" s="81"/>
      <c r="H64" s="68">
        <f t="shared" si="80"/>
        <v>0</v>
      </c>
      <c r="I64" s="68">
        <f>VLOOKUP(A64,MAY!$A$4:$K$99,11,0)</f>
        <v>242848</v>
      </c>
      <c r="J64" s="81"/>
      <c r="K64" s="68">
        <f t="shared" si="81"/>
        <v>-242848</v>
      </c>
      <c r="L64" s="68">
        <f>VLOOKUP(A64,JUN!$A$4:$K$99,11,0)</f>
        <v>0</v>
      </c>
      <c r="M64" s="81">
        <v>100000</v>
      </c>
      <c r="N64" s="68">
        <f t="shared" si="82"/>
        <v>-142848</v>
      </c>
      <c r="O64" s="68">
        <f>VLOOKUP(A64,JUL!$A$4:$K$99,11,0)</f>
        <v>0</v>
      </c>
      <c r="P64" s="83"/>
      <c r="Q64" s="68">
        <f t="shared" si="83"/>
        <v>-142848</v>
      </c>
      <c r="R64" s="175">
        <f>VLOOKUP(A64,AUG!$A$4:$K$99,11,0)</f>
        <v>0</v>
      </c>
      <c r="S64" s="83"/>
      <c r="T64" s="68">
        <f t="shared" si="84"/>
        <v>-142848</v>
      </c>
      <c r="U64" s="83"/>
      <c r="V64" s="83"/>
      <c r="W64" s="68">
        <f t="shared" si="85"/>
        <v>-142848</v>
      </c>
      <c r="X64" s="83"/>
      <c r="Y64" s="83"/>
      <c r="Z64" s="68">
        <f t="shared" si="86"/>
        <v>-142848</v>
      </c>
      <c r="AA64" s="83"/>
      <c r="AB64" s="83"/>
      <c r="AC64" s="68">
        <f t="shared" si="87"/>
        <v>-142848</v>
      </c>
      <c r="AD64" s="83"/>
      <c r="AE64" s="83"/>
      <c r="AF64" s="68">
        <f t="shared" si="88"/>
        <v>-142848</v>
      </c>
      <c r="AG64" s="83"/>
      <c r="AH64" s="83"/>
      <c r="AI64" s="68">
        <f t="shared" si="89"/>
        <v>-142848</v>
      </c>
      <c r="AJ64" s="83"/>
      <c r="AK64" s="83"/>
      <c r="AL64" s="68">
        <f t="shared" si="90"/>
        <v>-142848</v>
      </c>
      <c r="AM64" s="94"/>
      <c r="AN64" s="95">
        <f t="shared" si="1"/>
        <v>100000</v>
      </c>
      <c r="AO64" s="96">
        <f t="shared" si="2"/>
        <v>242848</v>
      </c>
      <c r="AP64" s="95">
        <f t="shared" si="3"/>
        <v>-142848</v>
      </c>
    </row>
    <row r="65" spans="1:42" x14ac:dyDescent="0.2">
      <c r="A65" s="37" t="s">
        <v>63</v>
      </c>
      <c r="B65" s="40"/>
      <c r="C65" s="40"/>
      <c r="D65" s="40"/>
      <c r="E65" s="81"/>
      <c r="F65" s="68">
        <f>VLOOKUP(A65,APR!$A$4:$K$99,11,0)</f>
        <v>0</v>
      </c>
      <c r="G65" s="81"/>
      <c r="H65" s="68">
        <f t="shared" si="80"/>
        <v>0</v>
      </c>
      <c r="I65" s="68">
        <f>VLOOKUP(A65,MAY!$A$4:$K$99,11,0)</f>
        <v>165200</v>
      </c>
      <c r="J65" s="80"/>
      <c r="K65" s="68">
        <f t="shared" si="81"/>
        <v>-165200</v>
      </c>
      <c r="L65" s="68">
        <f>VLOOKUP(A65,JUN!$A$4:$K$99,11,0)</f>
        <v>0</v>
      </c>
      <c r="M65" s="83">
        <v>200000</v>
      </c>
      <c r="N65" s="68">
        <f t="shared" si="82"/>
        <v>34800</v>
      </c>
      <c r="O65" s="68">
        <f>VLOOKUP(A65,JUL!$A$4:$K$99,11,0)</f>
        <v>0</v>
      </c>
      <c r="P65" s="83"/>
      <c r="Q65" s="68">
        <f t="shared" si="83"/>
        <v>34800</v>
      </c>
      <c r="R65" s="175">
        <f>VLOOKUP(A65,AUG!$A$4:$K$99,11,0)</f>
        <v>0</v>
      </c>
      <c r="S65" s="83"/>
      <c r="T65" s="68">
        <f t="shared" si="84"/>
        <v>34800</v>
      </c>
      <c r="U65" s="83"/>
      <c r="V65" s="83"/>
      <c r="W65" s="68">
        <f t="shared" si="85"/>
        <v>34800</v>
      </c>
      <c r="X65" s="83"/>
      <c r="Y65" s="83"/>
      <c r="Z65" s="68">
        <f t="shared" si="86"/>
        <v>34800</v>
      </c>
      <c r="AA65" s="83"/>
      <c r="AB65" s="83"/>
      <c r="AC65" s="68">
        <f t="shared" si="87"/>
        <v>34800</v>
      </c>
      <c r="AD65" s="83"/>
      <c r="AE65" s="83"/>
      <c r="AF65" s="68">
        <f t="shared" si="88"/>
        <v>34800</v>
      </c>
      <c r="AG65" s="83"/>
      <c r="AH65" s="83"/>
      <c r="AI65" s="68">
        <f t="shared" si="89"/>
        <v>34800</v>
      </c>
      <c r="AJ65" s="83"/>
      <c r="AK65" s="83"/>
      <c r="AL65" s="68">
        <f t="shared" si="90"/>
        <v>34800</v>
      </c>
      <c r="AM65" s="94"/>
      <c r="AN65" s="95">
        <f t="shared" si="1"/>
        <v>200000</v>
      </c>
      <c r="AO65" s="96">
        <f t="shared" si="2"/>
        <v>165200</v>
      </c>
      <c r="AP65" s="95">
        <f t="shared" si="3"/>
        <v>34800</v>
      </c>
    </row>
    <row r="66" spans="1:42" x14ac:dyDescent="0.2">
      <c r="A66" s="37" t="s">
        <v>64</v>
      </c>
      <c r="B66" s="40"/>
      <c r="C66" s="40"/>
      <c r="D66" s="40"/>
      <c r="E66" s="81"/>
      <c r="F66" s="68">
        <f>VLOOKUP(A66,APR!$A$4:$K$99,11,0)</f>
        <v>0</v>
      </c>
      <c r="G66" s="81"/>
      <c r="H66" s="68">
        <f t="shared" si="80"/>
        <v>0</v>
      </c>
      <c r="I66" s="68">
        <f>VLOOKUP(A66,MAY!$A$4:$K$99,11,0)</f>
        <v>1809966.9</v>
      </c>
      <c r="J66" s="81"/>
      <c r="K66" s="68">
        <f t="shared" si="81"/>
        <v>-1809966.9</v>
      </c>
      <c r="L66" s="68">
        <f>VLOOKUP(A66,JUN!$A$4:$K$99,11,0)</f>
        <v>193500</v>
      </c>
      <c r="M66" s="81">
        <v>1000000</v>
      </c>
      <c r="N66" s="68">
        <f t="shared" si="82"/>
        <v>-1003466.8999999999</v>
      </c>
      <c r="O66" s="68">
        <f>VLOOKUP(A66,JUL!$A$4:$K$99,11,0)</f>
        <v>0</v>
      </c>
      <c r="P66" s="83"/>
      <c r="Q66" s="68">
        <f t="shared" si="83"/>
        <v>-1003466.8999999999</v>
      </c>
      <c r="R66" s="175">
        <f>VLOOKUP(A66,AUG!$A$4:$K$99,11,0)</f>
        <v>0</v>
      </c>
      <c r="S66" s="83"/>
      <c r="T66" s="68">
        <f t="shared" si="84"/>
        <v>-1003466.8999999999</v>
      </c>
      <c r="U66" s="83"/>
      <c r="V66" s="83"/>
      <c r="W66" s="68">
        <f t="shared" si="85"/>
        <v>-1003466.8999999999</v>
      </c>
      <c r="X66" s="83"/>
      <c r="Y66" s="83"/>
      <c r="Z66" s="68">
        <f t="shared" si="86"/>
        <v>-1003466.8999999999</v>
      </c>
      <c r="AA66" s="83"/>
      <c r="AB66" s="83"/>
      <c r="AC66" s="68">
        <f t="shared" si="87"/>
        <v>-1003466.8999999999</v>
      </c>
      <c r="AD66" s="83"/>
      <c r="AE66" s="83"/>
      <c r="AF66" s="68">
        <f t="shared" si="88"/>
        <v>-1003466.8999999999</v>
      </c>
      <c r="AG66" s="83"/>
      <c r="AH66" s="83"/>
      <c r="AI66" s="68">
        <f t="shared" si="89"/>
        <v>-1003466.8999999999</v>
      </c>
      <c r="AJ66" s="83"/>
      <c r="AK66" s="83"/>
      <c r="AL66" s="68">
        <f t="shared" si="90"/>
        <v>-1003466.8999999999</v>
      </c>
      <c r="AM66" s="94"/>
      <c r="AN66" s="95">
        <f t="shared" si="1"/>
        <v>1000000</v>
      </c>
      <c r="AO66" s="96">
        <f t="shared" si="2"/>
        <v>2003466.9</v>
      </c>
      <c r="AP66" s="95">
        <f t="shared" si="3"/>
        <v>-1003466.8999999999</v>
      </c>
    </row>
    <row r="67" spans="1:42" x14ac:dyDescent="0.2">
      <c r="A67" s="37" t="s">
        <v>65</v>
      </c>
      <c r="B67" s="40"/>
      <c r="C67" s="40"/>
      <c r="D67" s="40"/>
      <c r="E67" s="81"/>
      <c r="F67" s="68">
        <f>VLOOKUP(A67,APR!$A$4:$K$99,11,0)</f>
        <v>0</v>
      </c>
      <c r="G67" s="81"/>
      <c r="H67" s="68">
        <f t="shared" si="80"/>
        <v>0</v>
      </c>
      <c r="I67" s="68">
        <f>VLOOKUP(A67,MAY!$A$4:$K$99,11,0)</f>
        <v>218890</v>
      </c>
      <c r="J67" s="81"/>
      <c r="K67" s="68">
        <f t="shared" si="81"/>
        <v>-218890</v>
      </c>
      <c r="L67" s="68">
        <f>VLOOKUP(A67,JUN!$A$4:$K$99,11,0)</f>
        <v>115640</v>
      </c>
      <c r="M67" s="83">
        <v>50000</v>
      </c>
      <c r="N67" s="68">
        <f t="shared" si="82"/>
        <v>-284530</v>
      </c>
      <c r="O67" s="68">
        <f>VLOOKUP(A67,JUL!$A$4:$K$99,11,0)</f>
        <v>0</v>
      </c>
      <c r="P67" s="83"/>
      <c r="Q67" s="68">
        <f t="shared" si="83"/>
        <v>-284530</v>
      </c>
      <c r="R67" s="175">
        <f>VLOOKUP(A67,AUG!$A$4:$K$99,11,0)</f>
        <v>0</v>
      </c>
      <c r="S67" s="83"/>
      <c r="T67" s="68">
        <f t="shared" si="84"/>
        <v>-284530</v>
      </c>
      <c r="U67" s="83"/>
      <c r="V67" s="83"/>
      <c r="W67" s="68">
        <f t="shared" si="85"/>
        <v>-284530</v>
      </c>
      <c r="X67" s="83"/>
      <c r="Y67" s="83"/>
      <c r="Z67" s="68">
        <f t="shared" si="86"/>
        <v>-284530</v>
      </c>
      <c r="AA67" s="83"/>
      <c r="AB67" s="83"/>
      <c r="AC67" s="68">
        <f t="shared" si="87"/>
        <v>-284530</v>
      </c>
      <c r="AD67" s="83"/>
      <c r="AE67" s="83"/>
      <c r="AF67" s="68">
        <f t="shared" si="88"/>
        <v>-284530</v>
      </c>
      <c r="AG67" s="83"/>
      <c r="AH67" s="83"/>
      <c r="AI67" s="68">
        <f t="shared" si="89"/>
        <v>-284530</v>
      </c>
      <c r="AJ67" s="83"/>
      <c r="AK67" s="83"/>
      <c r="AL67" s="68">
        <f t="shared" si="90"/>
        <v>-284530</v>
      </c>
      <c r="AM67" s="94"/>
      <c r="AN67" s="95">
        <f t="shared" si="1"/>
        <v>50000</v>
      </c>
      <c r="AO67" s="96">
        <f t="shared" si="2"/>
        <v>334530</v>
      </c>
      <c r="AP67" s="95">
        <f t="shared" si="3"/>
        <v>-284530</v>
      </c>
    </row>
    <row r="68" spans="1:42" x14ac:dyDescent="0.2">
      <c r="A68" s="45" t="s">
        <v>66</v>
      </c>
      <c r="B68" s="39"/>
      <c r="C68" s="39"/>
      <c r="D68" s="39"/>
      <c r="E68" s="39">
        <f t="shared" ref="E68:AM68" si="91">SUM(E69:E85)</f>
        <v>0</v>
      </c>
      <c r="F68" s="39">
        <f t="shared" si="91"/>
        <v>3140684</v>
      </c>
      <c r="G68" s="39">
        <f t="shared" si="91"/>
        <v>0</v>
      </c>
      <c r="H68" s="39">
        <f t="shared" si="91"/>
        <v>-3140684</v>
      </c>
      <c r="I68" s="39">
        <f t="shared" si="91"/>
        <v>5570828.9199999999</v>
      </c>
      <c r="J68" s="39">
        <f t="shared" si="91"/>
        <v>0</v>
      </c>
      <c r="K68" s="39">
        <f t="shared" si="91"/>
        <v>-8711512.9199999999</v>
      </c>
      <c r="L68" s="39">
        <f t="shared" si="91"/>
        <v>3926684.9</v>
      </c>
      <c r="M68" s="39">
        <f t="shared" si="91"/>
        <v>0</v>
      </c>
      <c r="N68" s="39">
        <f t="shared" si="91"/>
        <v>-12638197.82</v>
      </c>
      <c r="O68" s="39">
        <f t="shared" si="91"/>
        <v>2318850</v>
      </c>
      <c r="P68" s="39">
        <f t="shared" si="91"/>
        <v>36357200</v>
      </c>
      <c r="Q68" s="39">
        <f t="shared" si="91"/>
        <v>21400152.18</v>
      </c>
      <c r="R68" s="39">
        <f t="shared" si="91"/>
        <v>0</v>
      </c>
      <c r="S68" s="39">
        <f t="shared" si="91"/>
        <v>0</v>
      </c>
      <c r="T68" s="39">
        <f t="shared" si="91"/>
        <v>21400152.18</v>
      </c>
      <c r="U68" s="39">
        <f t="shared" si="91"/>
        <v>0</v>
      </c>
      <c r="V68" s="39">
        <f t="shared" si="91"/>
        <v>0</v>
      </c>
      <c r="W68" s="39">
        <f t="shared" si="91"/>
        <v>21400152.18</v>
      </c>
      <c r="X68" s="39">
        <f t="shared" si="91"/>
        <v>0</v>
      </c>
      <c r="Y68" s="39">
        <f t="shared" si="91"/>
        <v>0</v>
      </c>
      <c r="Z68" s="39">
        <f t="shared" si="91"/>
        <v>21400152.18</v>
      </c>
      <c r="AA68" s="39">
        <f t="shared" si="91"/>
        <v>0</v>
      </c>
      <c r="AB68" s="39">
        <f t="shared" si="91"/>
        <v>0</v>
      </c>
      <c r="AC68" s="39">
        <f t="shared" si="91"/>
        <v>21400152.18</v>
      </c>
      <c r="AD68" s="39">
        <f t="shared" si="91"/>
        <v>0</v>
      </c>
      <c r="AE68" s="39">
        <f t="shared" si="91"/>
        <v>0</v>
      </c>
      <c r="AF68" s="39">
        <f t="shared" si="91"/>
        <v>21400152.18</v>
      </c>
      <c r="AG68" s="39">
        <f t="shared" si="91"/>
        <v>0</v>
      </c>
      <c r="AH68" s="39">
        <f t="shared" si="91"/>
        <v>0</v>
      </c>
      <c r="AI68" s="39">
        <f t="shared" si="91"/>
        <v>21400152.18</v>
      </c>
      <c r="AJ68" s="39">
        <f t="shared" si="91"/>
        <v>0</v>
      </c>
      <c r="AK68" s="39">
        <f t="shared" si="91"/>
        <v>0</v>
      </c>
      <c r="AL68" s="39">
        <f t="shared" si="91"/>
        <v>21400152.18</v>
      </c>
      <c r="AM68" s="39">
        <f t="shared" si="91"/>
        <v>0</v>
      </c>
      <c r="AN68" s="104">
        <f t="shared" si="1"/>
        <v>36357200</v>
      </c>
      <c r="AO68" s="105">
        <f t="shared" si="2"/>
        <v>14957047.82</v>
      </c>
      <c r="AP68" s="104">
        <f t="shared" si="3"/>
        <v>21400152.18</v>
      </c>
    </row>
    <row r="69" spans="1:42" x14ac:dyDescent="0.2">
      <c r="A69" s="41" t="s">
        <v>67</v>
      </c>
      <c r="B69" s="44"/>
      <c r="C69" s="44"/>
      <c r="D69" s="44"/>
      <c r="E69" s="76"/>
      <c r="F69" s="68">
        <f>VLOOKUP(A69,APR!$A$4:$K$99,11,0)</f>
        <v>0</v>
      </c>
      <c r="G69" s="76"/>
      <c r="H69" s="68">
        <f t="shared" ref="H69:H85" si="92">E69-F69+G69</f>
        <v>0</v>
      </c>
      <c r="I69" s="68">
        <f>VLOOKUP(A69,MAY!$A$4:$K$99,11,0)</f>
        <v>0</v>
      </c>
      <c r="J69" s="76"/>
      <c r="K69" s="68">
        <f t="shared" ref="K69:K85" si="93">H69-I69+J69</f>
        <v>0</v>
      </c>
      <c r="L69" s="68">
        <f>VLOOKUP(A69,JUN!$A$4:$K$99,11,0)</f>
        <v>0</v>
      </c>
      <c r="M69" s="76"/>
      <c r="N69" s="68">
        <f t="shared" ref="N69:N85" si="94">K69-L69+M69</f>
        <v>0</v>
      </c>
      <c r="O69" s="68">
        <f>VLOOKUP(A69,JUL!$A$4:$K$99,11,0)</f>
        <v>0</v>
      </c>
      <c r="P69" s="76">
        <v>1200000</v>
      </c>
      <c r="Q69" s="68">
        <f t="shared" ref="Q69:Q85" si="95">N69-O69+P69</f>
        <v>1200000</v>
      </c>
      <c r="R69" s="175">
        <f>VLOOKUP(A69,AUG!$A$4:$K$99,11,0)</f>
        <v>0</v>
      </c>
      <c r="S69" s="76"/>
      <c r="T69" s="68">
        <f t="shared" ref="T69:T85" si="96">Q69-R69+S69</f>
        <v>1200000</v>
      </c>
      <c r="U69" s="76"/>
      <c r="V69" s="76"/>
      <c r="W69" s="68">
        <f t="shared" ref="W69:W85" si="97">T69-U69+V69</f>
        <v>1200000</v>
      </c>
      <c r="X69" s="76"/>
      <c r="Y69" s="76"/>
      <c r="Z69" s="68">
        <f t="shared" ref="Z69:Z85" si="98">W69-X69+Y69</f>
        <v>1200000</v>
      </c>
      <c r="AA69" s="76"/>
      <c r="AB69" s="76"/>
      <c r="AC69" s="68">
        <f t="shared" ref="AC69:AC85" si="99">Z69-AA69+AB69</f>
        <v>1200000</v>
      </c>
      <c r="AD69" s="76"/>
      <c r="AE69" s="76"/>
      <c r="AF69" s="68">
        <f t="shared" ref="AF69:AF85" si="100">AC69-AD69+AE69</f>
        <v>1200000</v>
      </c>
      <c r="AG69" s="76"/>
      <c r="AH69" s="76"/>
      <c r="AI69" s="68">
        <f t="shared" ref="AI69:AI85" si="101">AF69-AG69+AH69</f>
        <v>1200000</v>
      </c>
      <c r="AJ69" s="76"/>
      <c r="AK69" s="76"/>
      <c r="AL69" s="68">
        <f t="shared" ref="AL69:AL85" si="102">AI69-AJ69+AK69</f>
        <v>1200000</v>
      </c>
      <c r="AM69" s="77"/>
      <c r="AN69" s="78">
        <f t="shared" ref="AN69:AN98" si="103">E69+G69+J69+M69+P69+S69+V69+Y69+AB69+AE69+AH69+AK69</f>
        <v>1200000</v>
      </c>
      <c r="AO69" s="79">
        <f t="shared" ref="AO69:AO98" si="104">F69+I69+L69+O69+R69+U69+X69+AA69+AD69+AG69+AJ69+AM69</f>
        <v>0</v>
      </c>
      <c r="AP69" s="78">
        <f t="shared" ref="AP69:AP98" si="105">AN69-AO69</f>
        <v>1200000</v>
      </c>
    </row>
    <row r="70" spans="1:42" x14ac:dyDescent="0.2">
      <c r="A70" s="41" t="s">
        <v>68</v>
      </c>
      <c r="B70" s="44"/>
      <c r="C70" s="44"/>
      <c r="D70" s="44"/>
      <c r="E70" s="76"/>
      <c r="F70" s="68">
        <f>VLOOKUP(A70,APR!$A$4:$K$99,11,0)</f>
        <v>0</v>
      </c>
      <c r="G70" s="76"/>
      <c r="H70" s="68">
        <f t="shared" si="92"/>
        <v>0</v>
      </c>
      <c r="I70" s="68">
        <f>VLOOKUP(A70,MAY!$A$4:$K$99,11,0)</f>
        <v>0</v>
      </c>
      <c r="J70" s="76"/>
      <c r="K70" s="68">
        <f t="shared" si="93"/>
        <v>0</v>
      </c>
      <c r="L70" s="68">
        <f>VLOOKUP(A70,JUN!$A$4:$K$99,11,0)</f>
        <v>607700</v>
      </c>
      <c r="M70" s="76"/>
      <c r="N70" s="68">
        <f t="shared" si="94"/>
        <v>-607700</v>
      </c>
      <c r="O70" s="68">
        <f>VLOOKUP(A70,JUL!$A$4:$K$99,11,0)</f>
        <v>141600</v>
      </c>
      <c r="P70" s="76">
        <v>800000</v>
      </c>
      <c r="Q70" s="68">
        <f t="shared" si="95"/>
        <v>50700</v>
      </c>
      <c r="R70" s="175">
        <f>VLOOKUP(A70,AUG!$A$4:$K$99,11,0)</f>
        <v>0</v>
      </c>
      <c r="S70" s="76"/>
      <c r="T70" s="68">
        <f t="shared" si="96"/>
        <v>50700</v>
      </c>
      <c r="U70" s="76"/>
      <c r="V70" s="76"/>
      <c r="W70" s="68">
        <f t="shared" si="97"/>
        <v>50700</v>
      </c>
      <c r="X70" s="76"/>
      <c r="Y70" s="76"/>
      <c r="Z70" s="68">
        <f t="shared" si="98"/>
        <v>50700</v>
      </c>
      <c r="AA70" s="76"/>
      <c r="AB70" s="76"/>
      <c r="AC70" s="68">
        <f t="shared" si="99"/>
        <v>50700</v>
      </c>
      <c r="AD70" s="76"/>
      <c r="AE70" s="76"/>
      <c r="AF70" s="68">
        <f t="shared" si="100"/>
        <v>50700</v>
      </c>
      <c r="AG70" s="76"/>
      <c r="AH70" s="76"/>
      <c r="AI70" s="68">
        <f t="shared" si="101"/>
        <v>50700</v>
      </c>
      <c r="AJ70" s="76"/>
      <c r="AK70" s="76"/>
      <c r="AL70" s="68">
        <f t="shared" si="102"/>
        <v>50700</v>
      </c>
      <c r="AM70" s="77"/>
      <c r="AN70" s="78">
        <f t="shared" si="103"/>
        <v>800000</v>
      </c>
      <c r="AO70" s="79">
        <f t="shared" si="104"/>
        <v>749300</v>
      </c>
      <c r="AP70" s="78">
        <f t="shared" si="105"/>
        <v>50700</v>
      </c>
    </row>
    <row r="71" spans="1:42" x14ac:dyDescent="0.2">
      <c r="A71" s="41" t="s">
        <v>69</v>
      </c>
      <c r="B71" s="44"/>
      <c r="C71" s="44"/>
      <c r="D71" s="44"/>
      <c r="E71" s="76"/>
      <c r="F71" s="68">
        <f>VLOOKUP(A71,APR!$A$4:$K$99,11,0)</f>
        <v>0</v>
      </c>
      <c r="G71" s="76"/>
      <c r="H71" s="68">
        <f t="shared" si="92"/>
        <v>0</v>
      </c>
      <c r="I71" s="68">
        <f>VLOOKUP(A71,MAY!$A$4:$K$99,11,0)</f>
        <v>0</v>
      </c>
      <c r="J71" s="76"/>
      <c r="K71" s="68">
        <f t="shared" si="93"/>
        <v>0</v>
      </c>
      <c r="L71" s="68">
        <f>VLOOKUP(A71,JUN!$A$4:$K$99,11,0)</f>
        <v>196470</v>
      </c>
      <c r="M71" s="76"/>
      <c r="N71" s="68">
        <f t="shared" si="94"/>
        <v>-196470</v>
      </c>
      <c r="O71" s="68">
        <f>VLOOKUP(A71,JUL!$A$4:$K$99,11,0)</f>
        <v>0</v>
      </c>
      <c r="P71" s="76">
        <v>1770000</v>
      </c>
      <c r="Q71" s="68">
        <f t="shared" si="95"/>
        <v>1573530</v>
      </c>
      <c r="R71" s="175">
        <f>VLOOKUP(A71,AUG!$A$4:$K$99,11,0)</f>
        <v>0</v>
      </c>
      <c r="S71" s="76"/>
      <c r="T71" s="68">
        <f t="shared" si="96"/>
        <v>1573530</v>
      </c>
      <c r="U71" s="76"/>
      <c r="V71" s="76"/>
      <c r="W71" s="68">
        <f t="shared" si="97"/>
        <v>1573530</v>
      </c>
      <c r="X71" s="76"/>
      <c r="Y71" s="76"/>
      <c r="Z71" s="68">
        <f t="shared" si="98"/>
        <v>1573530</v>
      </c>
      <c r="AA71" s="76"/>
      <c r="AB71" s="76"/>
      <c r="AC71" s="68">
        <f t="shared" si="99"/>
        <v>1573530</v>
      </c>
      <c r="AD71" s="76"/>
      <c r="AE71" s="76"/>
      <c r="AF71" s="68">
        <f t="shared" si="100"/>
        <v>1573530</v>
      </c>
      <c r="AG71" s="76"/>
      <c r="AH71" s="76"/>
      <c r="AI71" s="68">
        <f t="shared" si="101"/>
        <v>1573530</v>
      </c>
      <c r="AJ71" s="76"/>
      <c r="AK71" s="76"/>
      <c r="AL71" s="68">
        <f t="shared" si="102"/>
        <v>1573530</v>
      </c>
      <c r="AM71" s="77"/>
      <c r="AN71" s="78">
        <f t="shared" si="103"/>
        <v>1770000</v>
      </c>
      <c r="AO71" s="79">
        <f t="shared" si="104"/>
        <v>196470</v>
      </c>
      <c r="AP71" s="78">
        <f t="shared" si="105"/>
        <v>1573530</v>
      </c>
    </row>
    <row r="72" spans="1:42" x14ac:dyDescent="0.2">
      <c r="A72" s="41" t="s">
        <v>70</v>
      </c>
      <c r="B72" s="44"/>
      <c r="C72" s="44"/>
      <c r="D72" s="44"/>
      <c r="E72" s="76"/>
      <c r="F72" s="68">
        <f>VLOOKUP(A72,APR!$A$4:$K$99,11,0)</f>
        <v>0</v>
      </c>
      <c r="G72" s="76"/>
      <c r="H72" s="68">
        <f t="shared" si="92"/>
        <v>0</v>
      </c>
      <c r="I72" s="68">
        <f>VLOOKUP(A72,MAY!$A$4:$K$99,11,0)</f>
        <v>0</v>
      </c>
      <c r="J72" s="76"/>
      <c r="K72" s="68">
        <f t="shared" si="93"/>
        <v>0</v>
      </c>
      <c r="L72" s="68">
        <f>VLOOKUP(A72,JUN!$A$4:$K$99,11,0)</f>
        <v>0</v>
      </c>
      <c r="M72" s="76"/>
      <c r="N72" s="68">
        <f t="shared" si="94"/>
        <v>0</v>
      </c>
      <c r="O72" s="68">
        <f>VLOOKUP(A72,JUL!$A$4:$K$99,11,0)</f>
        <v>0</v>
      </c>
      <c r="P72" s="76">
        <v>200000</v>
      </c>
      <c r="Q72" s="68">
        <f t="shared" si="95"/>
        <v>200000</v>
      </c>
      <c r="R72" s="175">
        <f>VLOOKUP(A72,AUG!$A$4:$K$99,11,0)</f>
        <v>0</v>
      </c>
      <c r="S72" s="76"/>
      <c r="T72" s="68">
        <f t="shared" si="96"/>
        <v>200000</v>
      </c>
      <c r="U72" s="76"/>
      <c r="V72" s="76"/>
      <c r="W72" s="68">
        <f t="shared" si="97"/>
        <v>200000</v>
      </c>
      <c r="X72" s="76"/>
      <c r="Y72" s="76"/>
      <c r="Z72" s="68">
        <f t="shared" si="98"/>
        <v>200000</v>
      </c>
      <c r="AA72" s="76"/>
      <c r="AB72" s="76"/>
      <c r="AC72" s="68">
        <f t="shared" si="99"/>
        <v>200000</v>
      </c>
      <c r="AD72" s="76"/>
      <c r="AE72" s="76"/>
      <c r="AF72" s="68">
        <f t="shared" si="100"/>
        <v>200000</v>
      </c>
      <c r="AG72" s="76"/>
      <c r="AH72" s="76"/>
      <c r="AI72" s="68">
        <f t="shared" si="101"/>
        <v>200000</v>
      </c>
      <c r="AJ72" s="76"/>
      <c r="AK72" s="76"/>
      <c r="AL72" s="68">
        <f t="shared" si="102"/>
        <v>200000</v>
      </c>
      <c r="AM72" s="77"/>
      <c r="AN72" s="78">
        <f t="shared" si="103"/>
        <v>200000</v>
      </c>
      <c r="AO72" s="79">
        <f t="shared" si="104"/>
        <v>0</v>
      </c>
      <c r="AP72" s="78">
        <f t="shared" si="105"/>
        <v>200000</v>
      </c>
    </row>
    <row r="73" spans="1:42" x14ac:dyDescent="0.2">
      <c r="A73" s="41" t="s">
        <v>71</v>
      </c>
      <c r="B73" s="44"/>
      <c r="C73" s="44"/>
      <c r="D73" s="44"/>
      <c r="E73" s="76"/>
      <c r="F73" s="68">
        <f>VLOOKUP(A73,APR!$A$4:$K$99,11,0)</f>
        <v>0</v>
      </c>
      <c r="G73" s="76"/>
      <c r="H73" s="68">
        <f t="shared" si="92"/>
        <v>0</v>
      </c>
      <c r="I73" s="68">
        <f>VLOOKUP(A73,MAY!$A$4:$K$99,11,0)</f>
        <v>0</v>
      </c>
      <c r="J73" s="76"/>
      <c r="K73" s="68">
        <f t="shared" si="93"/>
        <v>0</v>
      </c>
      <c r="L73" s="68">
        <f>VLOOKUP(A73,JUN!$A$4:$K$99,11,0)</f>
        <v>0</v>
      </c>
      <c r="M73" s="76"/>
      <c r="N73" s="68">
        <f t="shared" si="94"/>
        <v>0</v>
      </c>
      <c r="O73" s="68">
        <f>VLOOKUP(A73,JUL!$A$4:$K$99,11,0)</f>
        <v>0</v>
      </c>
      <c r="P73" s="76">
        <v>300000</v>
      </c>
      <c r="Q73" s="68">
        <f t="shared" si="95"/>
        <v>300000</v>
      </c>
      <c r="R73" s="175">
        <f>VLOOKUP(A73,AUG!$A$4:$K$99,11,0)</f>
        <v>0</v>
      </c>
      <c r="S73" s="76"/>
      <c r="T73" s="68">
        <f t="shared" si="96"/>
        <v>300000</v>
      </c>
      <c r="U73" s="76"/>
      <c r="V73" s="76"/>
      <c r="W73" s="68">
        <f t="shared" si="97"/>
        <v>300000</v>
      </c>
      <c r="X73" s="76"/>
      <c r="Y73" s="76"/>
      <c r="Z73" s="68">
        <f t="shared" si="98"/>
        <v>300000</v>
      </c>
      <c r="AA73" s="76"/>
      <c r="AB73" s="76"/>
      <c r="AC73" s="68">
        <f t="shared" si="99"/>
        <v>300000</v>
      </c>
      <c r="AD73" s="76"/>
      <c r="AE73" s="76"/>
      <c r="AF73" s="68">
        <f t="shared" si="100"/>
        <v>300000</v>
      </c>
      <c r="AG73" s="76"/>
      <c r="AH73" s="76"/>
      <c r="AI73" s="68">
        <f t="shared" si="101"/>
        <v>300000</v>
      </c>
      <c r="AJ73" s="76"/>
      <c r="AK73" s="76"/>
      <c r="AL73" s="68">
        <f t="shared" si="102"/>
        <v>300000</v>
      </c>
      <c r="AM73" s="77"/>
      <c r="AN73" s="78">
        <f t="shared" si="103"/>
        <v>300000</v>
      </c>
      <c r="AO73" s="79">
        <f t="shared" si="104"/>
        <v>0</v>
      </c>
      <c r="AP73" s="78">
        <f t="shared" si="105"/>
        <v>300000</v>
      </c>
    </row>
    <row r="74" spans="1:42" x14ac:dyDescent="0.2">
      <c r="A74" s="41" t="s">
        <v>72</v>
      </c>
      <c r="B74" s="44"/>
      <c r="C74" s="44"/>
      <c r="D74" s="44"/>
      <c r="E74" s="76"/>
      <c r="F74" s="68">
        <f>VLOOKUP(A74,APR!$A$4:$K$99,11,0)</f>
        <v>0</v>
      </c>
      <c r="G74" s="76"/>
      <c r="H74" s="68">
        <f t="shared" si="92"/>
        <v>0</v>
      </c>
      <c r="I74" s="68">
        <f>VLOOKUP(A74,MAY!$A$4:$K$99,11,0)</f>
        <v>3953250</v>
      </c>
      <c r="J74" s="76"/>
      <c r="K74" s="68">
        <f t="shared" si="93"/>
        <v>-3953250</v>
      </c>
      <c r="L74" s="68">
        <f>VLOOKUP(A74,JUN!$A$4:$K$99,11,0)</f>
        <v>0</v>
      </c>
      <c r="M74" s="76"/>
      <c r="N74" s="68">
        <f t="shared" si="94"/>
        <v>-3953250</v>
      </c>
      <c r="O74" s="68">
        <f>VLOOKUP(A74,JUL!$A$4:$K$99,11,0)</f>
        <v>2147250</v>
      </c>
      <c r="P74" s="76">
        <v>4513500</v>
      </c>
      <c r="Q74" s="68">
        <f t="shared" si="95"/>
        <v>-1587000</v>
      </c>
      <c r="R74" s="175">
        <f>VLOOKUP(A74,AUG!$A$4:$K$99,11,0)</f>
        <v>0</v>
      </c>
      <c r="S74" s="76"/>
      <c r="T74" s="68">
        <f t="shared" si="96"/>
        <v>-1587000</v>
      </c>
      <c r="U74" s="76"/>
      <c r="V74" s="76"/>
      <c r="W74" s="68">
        <f t="shared" si="97"/>
        <v>-1587000</v>
      </c>
      <c r="X74" s="76"/>
      <c r="Y74" s="76"/>
      <c r="Z74" s="68">
        <f t="shared" si="98"/>
        <v>-1587000</v>
      </c>
      <c r="AA74" s="76"/>
      <c r="AB74" s="76"/>
      <c r="AC74" s="68">
        <f t="shared" si="99"/>
        <v>-1587000</v>
      </c>
      <c r="AD74" s="76"/>
      <c r="AE74" s="76"/>
      <c r="AF74" s="68">
        <f t="shared" si="100"/>
        <v>-1587000</v>
      </c>
      <c r="AG74" s="76"/>
      <c r="AH74" s="76"/>
      <c r="AI74" s="68">
        <f t="shared" si="101"/>
        <v>-1587000</v>
      </c>
      <c r="AJ74" s="76"/>
      <c r="AK74" s="76"/>
      <c r="AL74" s="68">
        <f t="shared" si="102"/>
        <v>-1587000</v>
      </c>
      <c r="AM74" s="77"/>
      <c r="AN74" s="78">
        <f t="shared" si="103"/>
        <v>4513500</v>
      </c>
      <c r="AO74" s="79">
        <f t="shared" si="104"/>
        <v>6100500</v>
      </c>
      <c r="AP74" s="78">
        <f t="shared" si="105"/>
        <v>-1587000</v>
      </c>
    </row>
    <row r="75" spans="1:42" x14ac:dyDescent="0.2">
      <c r="A75" s="41" t="s">
        <v>73</v>
      </c>
      <c r="B75" s="44"/>
      <c r="C75" s="44"/>
      <c r="D75" s="44"/>
      <c r="E75" s="76"/>
      <c r="F75" s="68">
        <f>VLOOKUP(A75,APR!$A$4:$K$99,11,0)</f>
        <v>0</v>
      </c>
      <c r="G75" s="76"/>
      <c r="H75" s="68">
        <f t="shared" si="92"/>
        <v>0</v>
      </c>
      <c r="I75" s="68">
        <f>VLOOKUP(A75,MAY!$A$4:$K$99,11,0)</f>
        <v>970870.92</v>
      </c>
      <c r="J75" s="76"/>
      <c r="K75" s="68">
        <f t="shared" si="93"/>
        <v>-970870.92</v>
      </c>
      <c r="L75" s="68">
        <f>VLOOKUP(A75,JUN!$A$4:$K$99,11,0)</f>
        <v>0</v>
      </c>
      <c r="M75" s="76"/>
      <c r="N75" s="68">
        <f t="shared" si="94"/>
        <v>-970870.92</v>
      </c>
      <c r="O75" s="68">
        <f>VLOOKUP(A75,JUL!$A$4:$K$99,11,0)</f>
        <v>0</v>
      </c>
      <c r="P75" s="76">
        <v>708000</v>
      </c>
      <c r="Q75" s="68">
        <f t="shared" si="95"/>
        <v>-262870.92000000004</v>
      </c>
      <c r="R75" s="175">
        <f>VLOOKUP(A75,AUG!$A$4:$K$99,11,0)</f>
        <v>0</v>
      </c>
      <c r="S75" s="76"/>
      <c r="T75" s="68">
        <f t="shared" si="96"/>
        <v>-262870.92000000004</v>
      </c>
      <c r="U75" s="76"/>
      <c r="V75" s="76"/>
      <c r="W75" s="68">
        <f t="shared" si="97"/>
        <v>-262870.92000000004</v>
      </c>
      <c r="X75" s="76"/>
      <c r="Y75" s="76"/>
      <c r="Z75" s="68">
        <f t="shared" si="98"/>
        <v>-262870.92000000004</v>
      </c>
      <c r="AA75" s="76"/>
      <c r="AB75" s="76"/>
      <c r="AC75" s="68">
        <f t="shared" si="99"/>
        <v>-262870.92000000004</v>
      </c>
      <c r="AD75" s="76"/>
      <c r="AE75" s="76"/>
      <c r="AF75" s="68">
        <f t="shared" si="100"/>
        <v>-262870.92000000004</v>
      </c>
      <c r="AG75" s="76"/>
      <c r="AH75" s="76"/>
      <c r="AI75" s="68">
        <f t="shared" si="101"/>
        <v>-262870.92000000004</v>
      </c>
      <c r="AJ75" s="76"/>
      <c r="AK75" s="76"/>
      <c r="AL75" s="68">
        <f t="shared" si="102"/>
        <v>-262870.92000000004</v>
      </c>
      <c r="AM75" s="77"/>
      <c r="AN75" s="78">
        <f t="shared" si="103"/>
        <v>708000</v>
      </c>
      <c r="AO75" s="79">
        <f t="shared" si="104"/>
        <v>970870.92</v>
      </c>
      <c r="AP75" s="78">
        <f t="shared" si="105"/>
        <v>-262870.92000000004</v>
      </c>
    </row>
    <row r="76" spans="1:42" x14ac:dyDescent="0.2">
      <c r="A76" s="41" t="s">
        <v>74</v>
      </c>
      <c r="B76" s="44"/>
      <c r="C76" s="44"/>
      <c r="D76" s="44"/>
      <c r="E76" s="76"/>
      <c r="F76" s="68">
        <f>VLOOKUP(A76,APR!$A$4:$K$99,11,0)</f>
        <v>1252684</v>
      </c>
      <c r="G76" s="76"/>
      <c r="H76" s="68">
        <f t="shared" si="92"/>
        <v>-1252684</v>
      </c>
      <c r="I76" s="68">
        <f>VLOOKUP(A76,MAY!$A$4:$K$99,11,0)</f>
        <v>108860</v>
      </c>
      <c r="J76" s="76"/>
      <c r="K76" s="68">
        <f t="shared" si="93"/>
        <v>-1361544</v>
      </c>
      <c r="L76" s="68">
        <f>VLOOKUP(A76,JUN!$A$4:$K$99,11,0)</f>
        <v>812111</v>
      </c>
      <c r="M76" s="76"/>
      <c r="N76" s="68">
        <f t="shared" si="94"/>
        <v>-2173655</v>
      </c>
      <c r="O76" s="68">
        <f>VLOOKUP(A76,JUL!$A$4:$K$99,11,0)</f>
        <v>30000</v>
      </c>
      <c r="P76" s="76">
        <v>1500000</v>
      </c>
      <c r="Q76" s="68">
        <f t="shared" si="95"/>
        <v>-703655</v>
      </c>
      <c r="R76" s="175">
        <f>VLOOKUP(A76,AUG!$A$4:$K$99,11,0)</f>
        <v>0</v>
      </c>
      <c r="S76" s="76"/>
      <c r="T76" s="68">
        <f t="shared" si="96"/>
        <v>-703655</v>
      </c>
      <c r="U76" s="76"/>
      <c r="V76" s="76"/>
      <c r="W76" s="68">
        <f t="shared" si="97"/>
        <v>-703655</v>
      </c>
      <c r="X76" s="76"/>
      <c r="Y76" s="76"/>
      <c r="Z76" s="68">
        <f t="shared" si="98"/>
        <v>-703655</v>
      </c>
      <c r="AA76" s="76"/>
      <c r="AB76" s="76"/>
      <c r="AC76" s="68">
        <f t="shared" si="99"/>
        <v>-703655</v>
      </c>
      <c r="AD76" s="76"/>
      <c r="AE76" s="76"/>
      <c r="AF76" s="68">
        <f t="shared" si="100"/>
        <v>-703655</v>
      </c>
      <c r="AG76" s="76"/>
      <c r="AH76" s="76"/>
      <c r="AI76" s="68">
        <f t="shared" si="101"/>
        <v>-703655</v>
      </c>
      <c r="AJ76" s="76"/>
      <c r="AK76" s="76"/>
      <c r="AL76" s="68">
        <f t="shared" si="102"/>
        <v>-703655</v>
      </c>
      <c r="AM76" s="77"/>
      <c r="AN76" s="78">
        <f t="shared" si="103"/>
        <v>1500000</v>
      </c>
      <c r="AO76" s="79">
        <f t="shared" si="104"/>
        <v>2203655</v>
      </c>
      <c r="AP76" s="78">
        <f t="shared" si="105"/>
        <v>-703655</v>
      </c>
    </row>
    <row r="77" spans="1:42" x14ac:dyDescent="0.2">
      <c r="A77" s="41" t="s">
        <v>75</v>
      </c>
      <c r="B77" s="44"/>
      <c r="C77" s="44"/>
      <c r="D77" s="44"/>
      <c r="E77" s="76"/>
      <c r="F77" s="68">
        <f>VLOOKUP(A77,APR!$A$4:$K$99,11,0)</f>
        <v>0</v>
      </c>
      <c r="G77" s="76"/>
      <c r="H77" s="68">
        <f t="shared" si="92"/>
        <v>0</v>
      </c>
      <c r="I77" s="68">
        <f>VLOOKUP(A77,MAY!$A$4:$K$99,11,0)</f>
        <v>0</v>
      </c>
      <c r="J77" s="76"/>
      <c r="K77" s="68">
        <f t="shared" si="93"/>
        <v>0</v>
      </c>
      <c r="L77" s="68">
        <f>VLOOKUP(A77,JUN!$A$4:$K$99,11,0)</f>
        <v>0</v>
      </c>
      <c r="M77" s="76"/>
      <c r="N77" s="68">
        <f t="shared" si="94"/>
        <v>0</v>
      </c>
      <c r="O77" s="68">
        <f>VLOOKUP(A77,JUL!$A$4:$K$99,11,0)</f>
        <v>0</v>
      </c>
      <c r="P77" s="106">
        <v>20886000</v>
      </c>
      <c r="Q77" s="68">
        <f t="shared" si="95"/>
        <v>20886000</v>
      </c>
      <c r="R77" s="175">
        <f>VLOOKUP(A77,AUG!$A$4:$K$99,11,0)</f>
        <v>0</v>
      </c>
      <c r="S77" s="76"/>
      <c r="T77" s="68">
        <f t="shared" si="96"/>
        <v>20886000</v>
      </c>
      <c r="U77" s="76"/>
      <c r="V77" s="76"/>
      <c r="W77" s="68">
        <f t="shared" si="97"/>
        <v>20886000</v>
      </c>
      <c r="X77" s="76"/>
      <c r="Y77" s="76"/>
      <c r="Z77" s="68">
        <f t="shared" si="98"/>
        <v>20886000</v>
      </c>
      <c r="AA77" s="76"/>
      <c r="AB77" s="76"/>
      <c r="AC77" s="68">
        <f t="shared" si="99"/>
        <v>20886000</v>
      </c>
      <c r="AD77" s="76"/>
      <c r="AE77" s="76"/>
      <c r="AF77" s="68">
        <f t="shared" si="100"/>
        <v>20886000</v>
      </c>
      <c r="AG77" s="76"/>
      <c r="AH77" s="76"/>
      <c r="AI77" s="68">
        <f t="shared" si="101"/>
        <v>20886000</v>
      </c>
      <c r="AJ77" s="76"/>
      <c r="AK77" s="76"/>
      <c r="AL77" s="68">
        <f t="shared" si="102"/>
        <v>20886000</v>
      </c>
      <c r="AM77" s="77"/>
      <c r="AN77" s="78">
        <f t="shared" si="103"/>
        <v>20886000</v>
      </c>
      <c r="AO77" s="79">
        <f t="shared" si="104"/>
        <v>0</v>
      </c>
      <c r="AP77" s="78">
        <f t="shared" si="105"/>
        <v>20886000</v>
      </c>
    </row>
    <row r="78" spans="1:42" x14ac:dyDescent="0.2">
      <c r="A78" s="41" t="s">
        <v>76</v>
      </c>
      <c r="B78" s="44"/>
      <c r="C78" s="44"/>
      <c r="D78" s="44"/>
      <c r="E78" s="76"/>
      <c r="F78" s="68">
        <f>VLOOKUP(A78,APR!$A$4:$K$99,11,0)</f>
        <v>1888000</v>
      </c>
      <c r="G78" s="76"/>
      <c r="H78" s="68">
        <f t="shared" si="92"/>
        <v>-1888000</v>
      </c>
      <c r="I78" s="68">
        <f>VLOOKUP(A78,MAY!$A$4:$K$99,11,0)</f>
        <v>295000</v>
      </c>
      <c r="J78" s="76"/>
      <c r="K78" s="68">
        <f t="shared" si="93"/>
        <v>-2183000</v>
      </c>
      <c r="L78" s="68">
        <f>VLOOKUP(A78,JUN!$A$4:$K$99,11,0)</f>
        <v>401200</v>
      </c>
      <c r="M78" s="76"/>
      <c r="N78" s="68">
        <f t="shared" si="94"/>
        <v>-2584200</v>
      </c>
      <c r="O78" s="68">
        <f>VLOOKUP(A78,JUL!$A$4:$K$99,11,0)</f>
        <v>0</v>
      </c>
      <c r="P78" s="76">
        <v>194700</v>
      </c>
      <c r="Q78" s="68">
        <f t="shared" si="95"/>
        <v>-2389500</v>
      </c>
      <c r="R78" s="175">
        <f>VLOOKUP(A78,AUG!$A$4:$K$99,11,0)</f>
        <v>0</v>
      </c>
      <c r="S78" s="76"/>
      <c r="T78" s="68">
        <f t="shared" si="96"/>
        <v>-2389500</v>
      </c>
      <c r="U78" s="76"/>
      <c r="V78" s="76"/>
      <c r="W78" s="68">
        <f t="shared" si="97"/>
        <v>-2389500</v>
      </c>
      <c r="X78" s="76"/>
      <c r="Y78" s="76"/>
      <c r="Z78" s="68">
        <f t="shared" si="98"/>
        <v>-2389500</v>
      </c>
      <c r="AA78" s="76"/>
      <c r="AB78" s="76"/>
      <c r="AC78" s="68">
        <f t="shared" si="99"/>
        <v>-2389500</v>
      </c>
      <c r="AD78" s="76"/>
      <c r="AE78" s="76"/>
      <c r="AF78" s="68">
        <f t="shared" si="100"/>
        <v>-2389500</v>
      </c>
      <c r="AG78" s="76"/>
      <c r="AH78" s="76"/>
      <c r="AI78" s="68">
        <f t="shared" si="101"/>
        <v>-2389500</v>
      </c>
      <c r="AJ78" s="76"/>
      <c r="AK78" s="76"/>
      <c r="AL78" s="68">
        <f t="shared" si="102"/>
        <v>-2389500</v>
      </c>
      <c r="AM78" s="77"/>
      <c r="AN78" s="78">
        <f t="shared" si="103"/>
        <v>194700</v>
      </c>
      <c r="AO78" s="79">
        <f t="shared" si="104"/>
        <v>2584200</v>
      </c>
      <c r="AP78" s="78">
        <f t="shared" si="105"/>
        <v>-2389500</v>
      </c>
    </row>
    <row r="79" spans="1:42" x14ac:dyDescent="0.2">
      <c r="A79" s="41" t="s">
        <v>62</v>
      </c>
      <c r="B79" s="44"/>
      <c r="C79" s="44"/>
      <c r="D79" s="44"/>
      <c r="E79" s="76"/>
      <c r="F79" s="68">
        <f>VLOOKUP(A79,APR!$A$4:$K$99,11,0)</f>
        <v>0</v>
      </c>
      <c r="G79" s="76"/>
      <c r="H79" s="68">
        <f t="shared" si="92"/>
        <v>0</v>
      </c>
      <c r="I79" s="68">
        <f>VLOOKUP(A79,MAY!$A$4:$K$99,11,0)</f>
        <v>242848</v>
      </c>
      <c r="J79" s="76"/>
      <c r="K79" s="68">
        <f t="shared" si="93"/>
        <v>-242848</v>
      </c>
      <c r="L79" s="68">
        <f>VLOOKUP(A79,JUN!$A$4:$K$99,11,0)</f>
        <v>0</v>
      </c>
      <c r="M79" s="76"/>
      <c r="N79" s="68">
        <f t="shared" si="94"/>
        <v>-242848</v>
      </c>
      <c r="O79" s="68">
        <f>VLOOKUP(A79,JUL!$A$4:$K$99,11,0)</f>
        <v>0</v>
      </c>
      <c r="P79" s="76">
        <v>300000</v>
      </c>
      <c r="Q79" s="68">
        <f t="shared" si="95"/>
        <v>57152</v>
      </c>
      <c r="R79" s="175">
        <f>VLOOKUP(A79,AUG!$A$4:$K$99,11,0)</f>
        <v>0</v>
      </c>
      <c r="S79" s="76"/>
      <c r="T79" s="68">
        <f t="shared" si="96"/>
        <v>57152</v>
      </c>
      <c r="U79" s="76"/>
      <c r="V79" s="76"/>
      <c r="W79" s="68">
        <f t="shared" si="97"/>
        <v>57152</v>
      </c>
      <c r="X79" s="76"/>
      <c r="Y79" s="76"/>
      <c r="Z79" s="68">
        <f t="shared" si="98"/>
        <v>57152</v>
      </c>
      <c r="AA79" s="76"/>
      <c r="AB79" s="76"/>
      <c r="AC79" s="68">
        <f t="shared" si="99"/>
        <v>57152</v>
      </c>
      <c r="AD79" s="76"/>
      <c r="AE79" s="76"/>
      <c r="AF79" s="68">
        <f t="shared" si="100"/>
        <v>57152</v>
      </c>
      <c r="AG79" s="76"/>
      <c r="AH79" s="76"/>
      <c r="AI79" s="68">
        <f t="shared" si="101"/>
        <v>57152</v>
      </c>
      <c r="AJ79" s="76"/>
      <c r="AK79" s="76"/>
      <c r="AL79" s="68">
        <f t="shared" si="102"/>
        <v>57152</v>
      </c>
      <c r="AM79" s="77"/>
      <c r="AN79" s="78">
        <f t="shared" si="103"/>
        <v>300000</v>
      </c>
      <c r="AO79" s="79">
        <f t="shared" si="104"/>
        <v>242848</v>
      </c>
      <c r="AP79" s="78">
        <f t="shared" si="105"/>
        <v>57152</v>
      </c>
    </row>
    <row r="80" spans="1:42" x14ac:dyDescent="0.2">
      <c r="A80" s="41" t="s">
        <v>77</v>
      </c>
      <c r="B80" s="44"/>
      <c r="C80" s="44"/>
      <c r="D80" s="44"/>
      <c r="E80" s="76"/>
      <c r="F80" s="68">
        <f>VLOOKUP(A80,APR!$A$4:$K$99,11,0)</f>
        <v>0</v>
      </c>
      <c r="G80" s="76"/>
      <c r="H80" s="68">
        <f t="shared" si="92"/>
        <v>0</v>
      </c>
      <c r="I80" s="68">
        <f>VLOOKUP(A80,MAY!$A$4:$K$99,11,0)</f>
        <v>0</v>
      </c>
      <c r="J80" s="76"/>
      <c r="K80" s="68">
        <f t="shared" si="93"/>
        <v>0</v>
      </c>
      <c r="L80" s="68">
        <f>VLOOKUP(A80,JUN!$A$4:$K$99,11,0)</f>
        <v>109999.9</v>
      </c>
      <c r="M80" s="76"/>
      <c r="N80" s="68">
        <f t="shared" si="94"/>
        <v>-109999.9</v>
      </c>
      <c r="O80" s="68">
        <f>VLOOKUP(A80,JUL!$A$4:$K$99,11,0)</f>
        <v>0</v>
      </c>
      <c r="P80" s="76">
        <v>2000000</v>
      </c>
      <c r="Q80" s="68">
        <f t="shared" si="95"/>
        <v>1890000.1</v>
      </c>
      <c r="R80" s="175">
        <f>VLOOKUP(A80,AUG!$A$4:$K$99,11,0)</f>
        <v>0</v>
      </c>
      <c r="S80" s="76"/>
      <c r="T80" s="68">
        <f t="shared" si="96"/>
        <v>1890000.1</v>
      </c>
      <c r="U80" s="76"/>
      <c r="V80" s="76"/>
      <c r="W80" s="68">
        <f t="shared" si="97"/>
        <v>1890000.1</v>
      </c>
      <c r="X80" s="76"/>
      <c r="Y80" s="76"/>
      <c r="Z80" s="68">
        <f t="shared" si="98"/>
        <v>1890000.1</v>
      </c>
      <c r="AA80" s="76"/>
      <c r="AB80" s="76"/>
      <c r="AC80" s="68">
        <f t="shared" si="99"/>
        <v>1890000.1</v>
      </c>
      <c r="AD80" s="76"/>
      <c r="AE80" s="76"/>
      <c r="AF80" s="68">
        <f t="shared" si="100"/>
        <v>1890000.1</v>
      </c>
      <c r="AG80" s="76"/>
      <c r="AH80" s="76"/>
      <c r="AI80" s="68">
        <f t="shared" si="101"/>
        <v>1890000.1</v>
      </c>
      <c r="AJ80" s="76"/>
      <c r="AK80" s="76"/>
      <c r="AL80" s="68">
        <f t="shared" si="102"/>
        <v>1890000.1</v>
      </c>
      <c r="AM80" s="77"/>
      <c r="AN80" s="78">
        <f t="shared" si="103"/>
        <v>2000000</v>
      </c>
      <c r="AO80" s="79">
        <f t="shared" si="104"/>
        <v>109999.9</v>
      </c>
      <c r="AP80" s="78">
        <f t="shared" si="105"/>
        <v>1890000.1</v>
      </c>
    </row>
    <row r="81" spans="1:42" x14ac:dyDescent="0.2">
      <c r="A81" s="41" t="s">
        <v>78</v>
      </c>
      <c r="B81" s="44"/>
      <c r="C81" s="44"/>
      <c r="D81" s="44"/>
      <c r="E81" s="76"/>
      <c r="F81" s="68">
        <f>VLOOKUP(A81,APR!$A$4:$K$99,11,0)</f>
        <v>0</v>
      </c>
      <c r="G81" s="76"/>
      <c r="H81" s="68">
        <f t="shared" si="92"/>
        <v>0</v>
      </c>
      <c r="I81" s="68">
        <f>VLOOKUP(A81,MAY!$A$4:$K$99,11,0)</f>
        <v>0</v>
      </c>
      <c r="J81" s="76"/>
      <c r="K81" s="68">
        <f t="shared" si="93"/>
        <v>0</v>
      </c>
      <c r="L81" s="68">
        <f>VLOOKUP(A81,JUN!$A$4:$K$99,11,0)</f>
        <v>0</v>
      </c>
      <c r="M81" s="76"/>
      <c r="N81" s="68">
        <f t="shared" si="94"/>
        <v>0</v>
      </c>
      <c r="O81" s="68">
        <f>VLOOKUP(A81,JUL!$A$4:$K$99,11,0)</f>
        <v>0</v>
      </c>
      <c r="P81" s="76">
        <v>295000</v>
      </c>
      <c r="Q81" s="68">
        <f t="shared" si="95"/>
        <v>295000</v>
      </c>
      <c r="R81" s="175">
        <f>VLOOKUP(A81,AUG!$A$4:$K$99,11,0)</f>
        <v>0</v>
      </c>
      <c r="S81" s="76"/>
      <c r="T81" s="68">
        <f t="shared" si="96"/>
        <v>295000</v>
      </c>
      <c r="U81" s="76"/>
      <c r="V81" s="76"/>
      <c r="W81" s="68">
        <f t="shared" si="97"/>
        <v>295000</v>
      </c>
      <c r="X81" s="76"/>
      <c r="Y81" s="76"/>
      <c r="Z81" s="68">
        <f t="shared" si="98"/>
        <v>295000</v>
      </c>
      <c r="AA81" s="76"/>
      <c r="AB81" s="76"/>
      <c r="AC81" s="68">
        <f t="shared" si="99"/>
        <v>295000</v>
      </c>
      <c r="AD81" s="76"/>
      <c r="AE81" s="76"/>
      <c r="AF81" s="68">
        <f t="shared" si="100"/>
        <v>295000</v>
      </c>
      <c r="AG81" s="76"/>
      <c r="AH81" s="76"/>
      <c r="AI81" s="68">
        <f t="shared" si="101"/>
        <v>295000</v>
      </c>
      <c r="AJ81" s="76"/>
      <c r="AK81" s="76"/>
      <c r="AL81" s="68">
        <f t="shared" si="102"/>
        <v>295000</v>
      </c>
      <c r="AM81" s="77"/>
      <c r="AN81" s="78">
        <f t="shared" si="103"/>
        <v>295000</v>
      </c>
      <c r="AO81" s="79">
        <f t="shared" si="104"/>
        <v>0</v>
      </c>
      <c r="AP81" s="78">
        <f t="shared" si="105"/>
        <v>295000</v>
      </c>
    </row>
    <row r="82" spans="1:42" x14ac:dyDescent="0.2">
      <c r="A82" s="41" t="s">
        <v>79</v>
      </c>
      <c r="B82" s="44"/>
      <c r="C82" s="44"/>
      <c r="D82" s="44"/>
      <c r="E82" s="76"/>
      <c r="F82" s="68">
        <f>VLOOKUP(A82,APR!$A$4:$K$99,11,0)</f>
        <v>0</v>
      </c>
      <c r="G82" s="76"/>
      <c r="H82" s="68">
        <f t="shared" si="92"/>
        <v>0</v>
      </c>
      <c r="I82" s="68">
        <f>VLOOKUP(A82,MAY!$A$4:$K$99,11,0)</f>
        <v>0</v>
      </c>
      <c r="J82" s="76"/>
      <c r="K82" s="68">
        <f t="shared" si="93"/>
        <v>0</v>
      </c>
      <c r="L82" s="68">
        <f>VLOOKUP(A82,JUN!$A$4:$K$99,11,0)</f>
        <v>1756000</v>
      </c>
      <c r="M82" s="76"/>
      <c r="N82" s="68">
        <f t="shared" si="94"/>
        <v>-1756000</v>
      </c>
      <c r="O82" s="68">
        <f>VLOOKUP(A82,JUL!$A$4:$K$99,11,0)</f>
        <v>0</v>
      </c>
      <c r="P82" s="76">
        <v>590000</v>
      </c>
      <c r="Q82" s="68">
        <f t="shared" si="95"/>
        <v>-1166000</v>
      </c>
      <c r="R82" s="175">
        <f>VLOOKUP(A82,AUG!$A$4:$K$99,11,0)</f>
        <v>0</v>
      </c>
      <c r="S82" s="76"/>
      <c r="T82" s="68">
        <f t="shared" si="96"/>
        <v>-1166000</v>
      </c>
      <c r="U82" s="76"/>
      <c r="V82" s="76"/>
      <c r="W82" s="68">
        <f t="shared" si="97"/>
        <v>-1166000</v>
      </c>
      <c r="X82" s="76"/>
      <c r="Y82" s="76"/>
      <c r="Z82" s="68">
        <f t="shared" si="98"/>
        <v>-1166000</v>
      </c>
      <c r="AA82" s="76"/>
      <c r="AB82" s="76"/>
      <c r="AC82" s="68">
        <f t="shared" si="99"/>
        <v>-1166000</v>
      </c>
      <c r="AD82" s="76"/>
      <c r="AE82" s="76"/>
      <c r="AF82" s="68">
        <f t="shared" si="100"/>
        <v>-1166000</v>
      </c>
      <c r="AG82" s="76"/>
      <c r="AH82" s="76"/>
      <c r="AI82" s="68">
        <f t="shared" si="101"/>
        <v>-1166000</v>
      </c>
      <c r="AJ82" s="76"/>
      <c r="AK82" s="76"/>
      <c r="AL82" s="68">
        <f t="shared" si="102"/>
        <v>-1166000</v>
      </c>
      <c r="AM82" s="77"/>
      <c r="AN82" s="78">
        <f t="shared" si="103"/>
        <v>590000</v>
      </c>
      <c r="AO82" s="79">
        <f t="shared" si="104"/>
        <v>1756000</v>
      </c>
      <c r="AP82" s="78">
        <f t="shared" si="105"/>
        <v>-1166000</v>
      </c>
    </row>
    <row r="83" spans="1:42" x14ac:dyDescent="0.2">
      <c r="A83" s="41" t="s">
        <v>80</v>
      </c>
      <c r="B83" s="44"/>
      <c r="C83" s="44"/>
      <c r="D83" s="44"/>
      <c r="E83" s="76"/>
      <c r="F83" s="68">
        <f>VLOOKUP(A83,APR!$A$4:$K$99,11,0)</f>
        <v>0</v>
      </c>
      <c r="G83" s="76"/>
      <c r="H83" s="68">
        <f t="shared" si="92"/>
        <v>0</v>
      </c>
      <c r="I83" s="68">
        <f>VLOOKUP(A83,MAY!$A$4:$K$99,11,0)</f>
        <v>0</v>
      </c>
      <c r="J83" s="76"/>
      <c r="K83" s="68">
        <f t="shared" si="93"/>
        <v>0</v>
      </c>
      <c r="L83" s="68">
        <f>VLOOKUP(A83,JUN!$A$4:$K$99,11,0)</f>
        <v>43204</v>
      </c>
      <c r="M83" s="76"/>
      <c r="N83" s="68">
        <f t="shared" si="94"/>
        <v>-43204</v>
      </c>
      <c r="O83" s="68">
        <f>VLOOKUP(A83,JUL!$A$4:$K$99,11,0)</f>
        <v>0</v>
      </c>
      <c r="P83" s="76">
        <v>100000</v>
      </c>
      <c r="Q83" s="68">
        <f t="shared" si="95"/>
        <v>56796</v>
      </c>
      <c r="R83" s="175">
        <f>VLOOKUP(A83,AUG!$A$4:$K$99,11,0)</f>
        <v>0</v>
      </c>
      <c r="S83" s="76"/>
      <c r="T83" s="68">
        <f t="shared" si="96"/>
        <v>56796</v>
      </c>
      <c r="U83" s="76"/>
      <c r="V83" s="76"/>
      <c r="W83" s="68">
        <f t="shared" si="97"/>
        <v>56796</v>
      </c>
      <c r="X83" s="76"/>
      <c r="Y83" s="76"/>
      <c r="Z83" s="68">
        <f t="shared" si="98"/>
        <v>56796</v>
      </c>
      <c r="AA83" s="76"/>
      <c r="AB83" s="76"/>
      <c r="AC83" s="68">
        <f t="shared" si="99"/>
        <v>56796</v>
      </c>
      <c r="AD83" s="76"/>
      <c r="AE83" s="76"/>
      <c r="AF83" s="68">
        <f t="shared" si="100"/>
        <v>56796</v>
      </c>
      <c r="AG83" s="76"/>
      <c r="AH83" s="76"/>
      <c r="AI83" s="68">
        <f t="shared" si="101"/>
        <v>56796</v>
      </c>
      <c r="AJ83" s="76"/>
      <c r="AK83" s="76"/>
      <c r="AL83" s="68">
        <f t="shared" si="102"/>
        <v>56796</v>
      </c>
      <c r="AM83" s="77"/>
      <c r="AN83" s="78">
        <f t="shared" si="103"/>
        <v>100000</v>
      </c>
      <c r="AO83" s="79">
        <f t="shared" si="104"/>
        <v>43204</v>
      </c>
      <c r="AP83" s="78">
        <f t="shared" si="105"/>
        <v>56796</v>
      </c>
    </row>
    <row r="84" spans="1:42" x14ac:dyDescent="0.2">
      <c r="A84" s="41" t="s">
        <v>81</v>
      </c>
      <c r="B84" s="44"/>
      <c r="C84" s="44"/>
      <c r="D84" s="44"/>
      <c r="E84" s="76"/>
      <c r="F84" s="68">
        <f>VLOOKUP(A84,APR!$A$4:$K$99,11,0)</f>
        <v>0</v>
      </c>
      <c r="G84" s="76"/>
      <c r="H84" s="68">
        <f t="shared" si="92"/>
        <v>0</v>
      </c>
      <c r="I84" s="68">
        <f>VLOOKUP(A84,MAY!$A$4:$K$99,11,0)</f>
        <v>0</v>
      </c>
      <c r="J84" s="76"/>
      <c r="K84" s="68">
        <f t="shared" si="93"/>
        <v>0</v>
      </c>
      <c r="L84" s="68">
        <f>VLOOKUP(A84,JUN!$A$4:$K$99,11,0)</f>
        <v>0</v>
      </c>
      <c r="M84" s="76"/>
      <c r="N84" s="68">
        <f t="shared" si="94"/>
        <v>0</v>
      </c>
      <c r="O84" s="68">
        <f>VLOOKUP(A84,JUL!$A$4:$K$99,11,0)</f>
        <v>0</v>
      </c>
      <c r="P84" s="76">
        <v>800000</v>
      </c>
      <c r="Q84" s="68">
        <f t="shared" si="95"/>
        <v>800000</v>
      </c>
      <c r="R84" s="175">
        <f>VLOOKUP(A84,AUG!$A$4:$K$99,11,0)</f>
        <v>0</v>
      </c>
      <c r="S84" s="76"/>
      <c r="T84" s="68">
        <f t="shared" si="96"/>
        <v>800000</v>
      </c>
      <c r="U84" s="76"/>
      <c r="V84" s="76"/>
      <c r="W84" s="68">
        <f t="shared" si="97"/>
        <v>800000</v>
      </c>
      <c r="X84" s="76"/>
      <c r="Y84" s="76"/>
      <c r="Z84" s="68">
        <f t="shared" si="98"/>
        <v>800000</v>
      </c>
      <c r="AA84" s="76"/>
      <c r="AB84" s="76"/>
      <c r="AC84" s="68">
        <f t="shared" si="99"/>
        <v>800000</v>
      </c>
      <c r="AD84" s="76"/>
      <c r="AE84" s="76"/>
      <c r="AF84" s="68">
        <f t="shared" si="100"/>
        <v>800000</v>
      </c>
      <c r="AG84" s="76"/>
      <c r="AH84" s="76"/>
      <c r="AI84" s="68">
        <f t="shared" si="101"/>
        <v>800000</v>
      </c>
      <c r="AJ84" s="76"/>
      <c r="AK84" s="76"/>
      <c r="AL84" s="68">
        <f t="shared" si="102"/>
        <v>800000</v>
      </c>
      <c r="AM84" s="77"/>
      <c r="AN84" s="78">
        <f t="shared" si="103"/>
        <v>800000</v>
      </c>
      <c r="AO84" s="79">
        <f t="shared" si="104"/>
        <v>0</v>
      </c>
      <c r="AP84" s="78">
        <f t="shared" si="105"/>
        <v>800000</v>
      </c>
    </row>
    <row r="85" spans="1:42" x14ac:dyDescent="0.2">
      <c r="A85" s="41" t="s">
        <v>82</v>
      </c>
      <c r="B85" s="44"/>
      <c r="C85" s="44"/>
      <c r="D85" s="44"/>
      <c r="E85" s="76"/>
      <c r="F85" s="68">
        <f>VLOOKUP(A85,APR!$A$4:$K$99,11,0)</f>
        <v>0</v>
      </c>
      <c r="G85" s="76"/>
      <c r="H85" s="68">
        <f t="shared" si="92"/>
        <v>0</v>
      </c>
      <c r="I85" s="68">
        <f>VLOOKUP(A85,MAY!$A$4:$K$99,11,0)</f>
        <v>0</v>
      </c>
      <c r="J85" s="76"/>
      <c r="K85" s="68">
        <f t="shared" si="93"/>
        <v>0</v>
      </c>
      <c r="L85" s="68">
        <f>VLOOKUP(A85,JUN!$A$4:$K$99,11,0)</f>
        <v>0</v>
      </c>
      <c r="M85" s="76"/>
      <c r="N85" s="68">
        <f t="shared" si="94"/>
        <v>0</v>
      </c>
      <c r="O85" s="68">
        <f>VLOOKUP(A85,JUL!$A$4:$K$99,11,0)</f>
        <v>0</v>
      </c>
      <c r="P85" s="76">
        <v>200000</v>
      </c>
      <c r="Q85" s="68">
        <f t="shared" si="95"/>
        <v>200000</v>
      </c>
      <c r="R85" s="175">
        <f>VLOOKUP(A85,AUG!$A$4:$K$99,11,0)</f>
        <v>0</v>
      </c>
      <c r="S85" s="76"/>
      <c r="T85" s="68">
        <f t="shared" si="96"/>
        <v>200000</v>
      </c>
      <c r="U85" s="76"/>
      <c r="V85" s="76"/>
      <c r="W85" s="68">
        <f t="shared" si="97"/>
        <v>200000</v>
      </c>
      <c r="X85" s="76"/>
      <c r="Y85" s="76"/>
      <c r="Z85" s="68">
        <f t="shared" si="98"/>
        <v>200000</v>
      </c>
      <c r="AA85" s="76"/>
      <c r="AB85" s="76"/>
      <c r="AC85" s="68">
        <f t="shared" si="99"/>
        <v>200000</v>
      </c>
      <c r="AD85" s="76"/>
      <c r="AE85" s="76"/>
      <c r="AF85" s="68">
        <f t="shared" si="100"/>
        <v>200000</v>
      </c>
      <c r="AG85" s="76"/>
      <c r="AH85" s="76"/>
      <c r="AI85" s="68">
        <f t="shared" si="101"/>
        <v>200000</v>
      </c>
      <c r="AJ85" s="76"/>
      <c r="AK85" s="76"/>
      <c r="AL85" s="68">
        <f t="shared" si="102"/>
        <v>200000</v>
      </c>
      <c r="AM85" s="77"/>
      <c r="AN85" s="78">
        <f t="shared" si="103"/>
        <v>200000</v>
      </c>
      <c r="AO85" s="79">
        <f t="shared" si="104"/>
        <v>0</v>
      </c>
      <c r="AP85" s="78">
        <f t="shared" si="105"/>
        <v>200000</v>
      </c>
    </row>
    <row r="86" spans="1:42" x14ac:dyDescent="0.2">
      <c r="A86" s="38" t="s">
        <v>83</v>
      </c>
      <c r="B86" s="39"/>
      <c r="C86" s="39"/>
      <c r="D86" s="39"/>
      <c r="E86" s="39">
        <f>SUM(E87:E87)</f>
        <v>0</v>
      </c>
      <c r="F86" s="39">
        <f t="shared" ref="F86:AM86" si="106">SUM(F87:F87)</f>
        <v>0</v>
      </c>
      <c r="G86" s="39">
        <f t="shared" si="106"/>
        <v>0</v>
      </c>
      <c r="H86" s="39">
        <f t="shared" si="106"/>
        <v>0</v>
      </c>
      <c r="I86" s="39">
        <f t="shared" si="106"/>
        <v>0</v>
      </c>
      <c r="J86" s="39">
        <f t="shared" si="106"/>
        <v>0</v>
      </c>
      <c r="K86" s="39">
        <f t="shared" si="106"/>
        <v>0</v>
      </c>
      <c r="L86" s="39">
        <f t="shared" si="106"/>
        <v>0</v>
      </c>
      <c r="M86" s="39">
        <f t="shared" si="106"/>
        <v>0</v>
      </c>
      <c r="N86" s="39">
        <f t="shared" si="106"/>
        <v>0</v>
      </c>
      <c r="O86" s="39">
        <f t="shared" si="106"/>
        <v>0</v>
      </c>
      <c r="P86" s="39">
        <f t="shared" si="106"/>
        <v>0</v>
      </c>
      <c r="Q86" s="39">
        <f t="shared" si="106"/>
        <v>0</v>
      </c>
      <c r="R86" s="39">
        <f t="shared" si="106"/>
        <v>0</v>
      </c>
      <c r="S86" s="39">
        <f t="shared" si="106"/>
        <v>50000000</v>
      </c>
      <c r="T86" s="39">
        <f t="shared" si="106"/>
        <v>50000000</v>
      </c>
      <c r="U86" s="39">
        <f t="shared" si="106"/>
        <v>0</v>
      </c>
      <c r="V86" s="39">
        <f t="shared" si="106"/>
        <v>0</v>
      </c>
      <c r="W86" s="39">
        <f t="shared" si="106"/>
        <v>50000000</v>
      </c>
      <c r="X86" s="39">
        <f t="shared" si="106"/>
        <v>0</v>
      </c>
      <c r="Y86" s="39">
        <f t="shared" si="106"/>
        <v>0</v>
      </c>
      <c r="Z86" s="39">
        <f t="shared" si="106"/>
        <v>50000000</v>
      </c>
      <c r="AA86" s="39">
        <f t="shared" si="106"/>
        <v>0</v>
      </c>
      <c r="AB86" s="39">
        <f t="shared" si="106"/>
        <v>0</v>
      </c>
      <c r="AC86" s="39">
        <f t="shared" si="106"/>
        <v>50000000</v>
      </c>
      <c r="AD86" s="39">
        <f t="shared" si="106"/>
        <v>0</v>
      </c>
      <c r="AE86" s="39">
        <f t="shared" si="106"/>
        <v>0</v>
      </c>
      <c r="AF86" s="39">
        <f t="shared" si="106"/>
        <v>50000000</v>
      </c>
      <c r="AG86" s="39">
        <f t="shared" si="106"/>
        <v>0</v>
      </c>
      <c r="AH86" s="39">
        <f t="shared" si="106"/>
        <v>0</v>
      </c>
      <c r="AI86" s="39">
        <f t="shared" si="106"/>
        <v>50000000</v>
      </c>
      <c r="AJ86" s="39">
        <f t="shared" si="106"/>
        <v>0</v>
      </c>
      <c r="AK86" s="39">
        <f t="shared" si="106"/>
        <v>0</v>
      </c>
      <c r="AL86" s="39">
        <f t="shared" si="106"/>
        <v>50000000</v>
      </c>
      <c r="AM86" s="39">
        <f t="shared" si="106"/>
        <v>0</v>
      </c>
      <c r="AN86" s="51">
        <f t="shared" si="103"/>
        <v>50000000</v>
      </c>
      <c r="AO86" s="55">
        <f t="shared" si="104"/>
        <v>0</v>
      </c>
      <c r="AP86" s="51">
        <f t="shared" si="105"/>
        <v>50000000</v>
      </c>
    </row>
    <row r="87" spans="1:42" x14ac:dyDescent="0.2">
      <c r="A87" s="41" t="s">
        <v>84</v>
      </c>
      <c r="B87" s="44"/>
      <c r="C87" s="44"/>
      <c r="D87" s="44"/>
      <c r="E87" s="76"/>
      <c r="F87" s="68">
        <f>VLOOKUP(A87,APR!$A$4:$K$99,11,0)</f>
        <v>0</v>
      </c>
      <c r="G87" s="76"/>
      <c r="H87" s="68">
        <f>E87-F87+G87</f>
        <v>0</v>
      </c>
      <c r="I87" s="68">
        <f>VLOOKUP(A87,MAY!$A$4:$K$99,11,0)</f>
        <v>0</v>
      </c>
      <c r="J87" s="84"/>
      <c r="K87" s="68">
        <f>H87-I87+J87</f>
        <v>0</v>
      </c>
      <c r="L87" s="68">
        <f>VLOOKUP(A87,JUN!$A$4:$K$99,11,0)</f>
        <v>0</v>
      </c>
      <c r="M87" s="76"/>
      <c r="N87" s="68">
        <f>K87-L87+M87</f>
        <v>0</v>
      </c>
      <c r="O87" s="68">
        <f>VLOOKUP(A87,JUL!$A$4:$K$99,11,0)</f>
        <v>0</v>
      </c>
      <c r="P87" s="76"/>
      <c r="Q87" s="68">
        <f>N87-O87+P87</f>
        <v>0</v>
      </c>
      <c r="R87" s="175">
        <f>VLOOKUP(A87,AUG!$A$4:$K$99,11,0)</f>
        <v>0</v>
      </c>
      <c r="S87" s="76">
        <v>50000000</v>
      </c>
      <c r="T87" s="68">
        <f>Q87-R87+S87</f>
        <v>50000000</v>
      </c>
      <c r="U87" s="76"/>
      <c r="V87" s="76"/>
      <c r="W87" s="68">
        <f>T87-U87+V87</f>
        <v>50000000</v>
      </c>
      <c r="X87" s="76"/>
      <c r="Y87" s="76"/>
      <c r="Z87" s="68">
        <f>W87-X87+Y87</f>
        <v>50000000</v>
      </c>
      <c r="AA87" s="76"/>
      <c r="AB87" s="76"/>
      <c r="AC87" s="68">
        <f>Z87-AA87+AB87</f>
        <v>50000000</v>
      </c>
      <c r="AD87" s="76"/>
      <c r="AE87" s="76"/>
      <c r="AF87" s="68">
        <f>AC87-AD87+AE87</f>
        <v>50000000</v>
      </c>
      <c r="AG87" s="76"/>
      <c r="AH87" s="76"/>
      <c r="AI87" s="68">
        <f>AF87-AG87+AH87</f>
        <v>50000000</v>
      </c>
      <c r="AJ87" s="76"/>
      <c r="AK87" s="76"/>
      <c r="AL87" s="68">
        <f>AI87-AJ87+AK87</f>
        <v>50000000</v>
      </c>
      <c r="AM87" s="77"/>
      <c r="AN87" s="78">
        <f t="shared" si="103"/>
        <v>50000000</v>
      </c>
      <c r="AO87" s="79">
        <f t="shared" si="104"/>
        <v>0</v>
      </c>
      <c r="AP87" s="78">
        <f t="shared" si="105"/>
        <v>50000000</v>
      </c>
    </row>
    <row r="88" spans="1:42" x14ac:dyDescent="0.2">
      <c r="A88" s="45" t="s">
        <v>85</v>
      </c>
      <c r="B88" s="39"/>
      <c r="C88" s="39"/>
      <c r="D88" s="39"/>
      <c r="E88" s="39">
        <f t="shared" ref="E88:AM88" si="107">E89+E90</f>
        <v>0</v>
      </c>
      <c r="F88" s="39">
        <f t="shared" si="107"/>
        <v>565573</v>
      </c>
      <c r="G88" s="39">
        <f t="shared" si="107"/>
        <v>0</v>
      </c>
      <c r="H88" s="39">
        <f t="shared" si="107"/>
        <v>-565573</v>
      </c>
      <c r="I88" s="39">
        <f t="shared" si="107"/>
        <v>202720</v>
      </c>
      <c r="J88" s="39">
        <f t="shared" si="107"/>
        <v>5500000</v>
      </c>
      <c r="K88" s="39">
        <f t="shared" si="107"/>
        <v>4731707</v>
      </c>
      <c r="L88" s="39">
        <f t="shared" si="107"/>
        <v>0</v>
      </c>
      <c r="M88" s="39">
        <f t="shared" si="107"/>
        <v>0</v>
      </c>
      <c r="N88" s="39">
        <f t="shared" si="107"/>
        <v>4731707</v>
      </c>
      <c r="O88" s="39">
        <f t="shared" si="107"/>
        <v>0</v>
      </c>
      <c r="P88" s="39">
        <f t="shared" si="107"/>
        <v>0</v>
      </c>
      <c r="Q88" s="39">
        <f t="shared" si="107"/>
        <v>4731707</v>
      </c>
      <c r="R88" s="39">
        <f t="shared" si="107"/>
        <v>2417714</v>
      </c>
      <c r="S88" s="39">
        <f t="shared" si="107"/>
        <v>5300000</v>
      </c>
      <c r="T88" s="39">
        <f t="shared" si="107"/>
        <v>7613993</v>
      </c>
      <c r="U88" s="39">
        <f t="shared" si="107"/>
        <v>0</v>
      </c>
      <c r="V88" s="39">
        <f t="shared" si="107"/>
        <v>0</v>
      </c>
      <c r="W88" s="39">
        <f t="shared" si="107"/>
        <v>7613993</v>
      </c>
      <c r="X88" s="39">
        <f t="shared" si="107"/>
        <v>0</v>
      </c>
      <c r="Y88" s="39">
        <f t="shared" si="107"/>
        <v>25000000</v>
      </c>
      <c r="Z88" s="39">
        <f t="shared" si="107"/>
        <v>32613993</v>
      </c>
      <c r="AA88" s="39">
        <f t="shared" si="107"/>
        <v>0</v>
      </c>
      <c r="AB88" s="39">
        <f t="shared" si="107"/>
        <v>5000000</v>
      </c>
      <c r="AC88" s="39">
        <f t="shared" si="107"/>
        <v>37613993</v>
      </c>
      <c r="AD88" s="39">
        <f t="shared" si="107"/>
        <v>0</v>
      </c>
      <c r="AE88" s="39">
        <f t="shared" si="107"/>
        <v>0</v>
      </c>
      <c r="AF88" s="39">
        <f t="shared" si="107"/>
        <v>37613993</v>
      </c>
      <c r="AG88" s="39">
        <f t="shared" si="107"/>
        <v>0</v>
      </c>
      <c r="AH88" s="39">
        <f t="shared" si="107"/>
        <v>0</v>
      </c>
      <c r="AI88" s="39">
        <f t="shared" si="107"/>
        <v>37613993</v>
      </c>
      <c r="AJ88" s="39">
        <f t="shared" si="107"/>
        <v>0</v>
      </c>
      <c r="AK88" s="39">
        <f t="shared" si="107"/>
        <v>0</v>
      </c>
      <c r="AL88" s="39">
        <f t="shared" si="107"/>
        <v>37613993</v>
      </c>
      <c r="AM88" s="39">
        <f t="shared" si="107"/>
        <v>0</v>
      </c>
      <c r="AN88" s="104">
        <f t="shared" si="103"/>
        <v>40800000</v>
      </c>
      <c r="AO88" s="105">
        <f t="shared" si="104"/>
        <v>3186007</v>
      </c>
      <c r="AP88" s="104">
        <f t="shared" si="105"/>
        <v>37613993</v>
      </c>
    </row>
    <row r="89" spans="1:42" x14ac:dyDescent="0.2">
      <c r="A89" s="41" t="s">
        <v>86</v>
      </c>
      <c r="B89" s="44"/>
      <c r="C89" s="44"/>
      <c r="D89" s="44"/>
      <c r="E89" s="76"/>
      <c r="F89" s="68">
        <f>VLOOKUP(A89,APR!$A$4:$K$99,11,0)</f>
        <v>0</v>
      </c>
      <c r="G89" s="76"/>
      <c r="H89" s="68">
        <f>E89-F89+G89</f>
        <v>0</v>
      </c>
      <c r="I89" s="68">
        <f>VLOOKUP(A89,MAY!$A$4:$K$99,11,0)</f>
        <v>0</v>
      </c>
      <c r="J89" s="76">
        <v>5000000</v>
      </c>
      <c r="K89" s="68">
        <f>H89-I89+J89</f>
        <v>5000000</v>
      </c>
      <c r="L89" s="68">
        <f>VLOOKUP(A89,JUN!$A$4:$K$99,11,0)</f>
        <v>0</v>
      </c>
      <c r="M89" s="76"/>
      <c r="N89" s="68">
        <f>K89-L89+M89</f>
        <v>5000000</v>
      </c>
      <c r="O89" s="68">
        <f>VLOOKUP(A89,JUL!$A$4:$K$99,11,0)</f>
        <v>0</v>
      </c>
      <c r="P89" s="76"/>
      <c r="Q89" s="68">
        <f>N89-O89+P89</f>
        <v>5000000</v>
      </c>
      <c r="R89" s="175">
        <f>VLOOKUP(A89,AUG!$A$4:$K$99,11,0)</f>
        <v>2714</v>
      </c>
      <c r="S89" s="76">
        <v>5000000</v>
      </c>
      <c r="T89" s="68">
        <f>Q89-R89+S89</f>
        <v>9997286</v>
      </c>
      <c r="U89" s="76"/>
      <c r="V89" s="76"/>
      <c r="W89" s="68">
        <f>T89-U89+V89</f>
        <v>9997286</v>
      </c>
      <c r="X89" s="76"/>
      <c r="Y89" s="76"/>
      <c r="Z89" s="68">
        <f>W89-X89+Y89</f>
        <v>9997286</v>
      </c>
      <c r="AA89" s="76"/>
      <c r="AB89" s="76">
        <v>5000000</v>
      </c>
      <c r="AC89" s="68">
        <f>Z89-AA89+AB89</f>
        <v>14997286</v>
      </c>
      <c r="AD89" s="76"/>
      <c r="AE89" s="76"/>
      <c r="AF89" s="68">
        <f>AC89-AD89+AE89</f>
        <v>14997286</v>
      </c>
      <c r="AG89" s="76"/>
      <c r="AH89" s="76"/>
      <c r="AI89" s="68">
        <f>AF89-AG89+AH89</f>
        <v>14997286</v>
      </c>
      <c r="AJ89" s="76"/>
      <c r="AK89" s="76"/>
      <c r="AL89" s="68">
        <f>AI89-AJ89+AK89</f>
        <v>14997286</v>
      </c>
      <c r="AM89" s="77"/>
      <c r="AN89" s="78">
        <f t="shared" si="103"/>
        <v>15000000</v>
      </c>
      <c r="AO89" s="79">
        <f t="shared" si="104"/>
        <v>2714</v>
      </c>
      <c r="AP89" s="78">
        <f t="shared" si="105"/>
        <v>14997286</v>
      </c>
    </row>
    <row r="90" spans="1:42" x14ac:dyDescent="0.2">
      <c r="A90" s="41" t="s">
        <v>87</v>
      </c>
      <c r="B90" s="44"/>
      <c r="C90" s="44"/>
      <c r="D90" s="44"/>
      <c r="E90" s="76"/>
      <c r="F90" s="68">
        <f>VLOOKUP(A90,APR!$A$4:$K$99,11,0)</f>
        <v>565573</v>
      </c>
      <c r="G90" s="76"/>
      <c r="H90" s="68">
        <f>E90-F90+G90</f>
        <v>-565573</v>
      </c>
      <c r="I90" s="68">
        <f>VLOOKUP(A90,MAY!$A$4:$K$99,11,0)</f>
        <v>202720</v>
      </c>
      <c r="J90" s="76">
        <v>500000</v>
      </c>
      <c r="K90" s="68">
        <f>H90-I90+J90</f>
        <v>-268293</v>
      </c>
      <c r="L90" s="68">
        <f>VLOOKUP(A90,JUN!$A$4:$K$99,11,0)</f>
        <v>0</v>
      </c>
      <c r="M90" s="84"/>
      <c r="N90" s="68">
        <f>K90-L90+M90</f>
        <v>-268293</v>
      </c>
      <c r="O90" s="68">
        <f>VLOOKUP(A90,JUL!$A$4:$K$99,11,0)</f>
        <v>0</v>
      </c>
      <c r="P90" s="76"/>
      <c r="Q90" s="68">
        <f>N90-O90+P90</f>
        <v>-268293</v>
      </c>
      <c r="R90" s="175">
        <f>VLOOKUP(A90,AUG!$A$4:$K$99,11,0)</f>
        <v>2415000</v>
      </c>
      <c r="S90" s="76">
        <v>300000</v>
      </c>
      <c r="T90" s="68">
        <f>Q90-R90+S90</f>
        <v>-2383293</v>
      </c>
      <c r="U90" s="76"/>
      <c r="V90" s="76"/>
      <c r="W90" s="68">
        <f>T90-U90+V90</f>
        <v>-2383293</v>
      </c>
      <c r="X90" s="76"/>
      <c r="Y90" s="76">
        <v>25000000</v>
      </c>
      <c r="Z90" s="68">
        <f>W90-X90+Y90</f>
        <v>22616707</v>
      </c>
      <c r="AA90" s="76"/>
      <c r="AB90" s="76"/>
      <c r="AC90" s="68">
        <f>Z90-AA90+AB90</f>
        <v>22616707</v>
      </c>
      <c r="AD90" s="76"/>
      <c r="AE90" s="76"/>
      <c r="AF90" s="68">
        <f>AC90-AD90+AE90</f>
        <v>22616707</v>
      </c>
      <c r="AG90" s="76"/>
      <c r="AH90" s="76"/>
      <c r="AI90" s="68">
        <f>AF90-AG90+AH90</f>
        <v>22616707</v>
      </c>
      <c r="AJ90" s="76"/>
      <c r="AK90" s="76"/>
      <c r="AL90" s="68">
        <f>AI90-AJ90+AK90</f>
        <v>22616707</v>
      </c>
      <c r="AM90" s="77"/>
      <c r="AN90" s="78">
        <f t="shared" si="103"/>
        <v>25800000</v>
      </c>
      <c r="AO90" s="79">
        <f t="shared" si="104"/>
        <v>3183293</v>
      </c>
      <c r="AP90" s="78">
        <f t="shared" si="105"/>
        <v>22616707</v>
      </c>
    </row>
    <row r="91" spans="1:42" x14ac:dyDescent="0.2">
      <c r="A91" s="38" t="s">
        <v>88</v>
      </c>
      <c r="B91" s="39">
        <v>875767</v>
      </c>
      <c r="C91" s="39">
        <v>35.799999999999997</v>
      </c>
      <c r="D91" s="39">
        <v>20</v>
      </c>
      <c r="E91" s="39">
        <f>+SUM(E92:E98)</f>
        <v>12006000</v>
      </c>
      <c r="F91" s="39">
        <f t="shared" ref="F91:AM91" si="108">+SUM(F92:F98)</f>
        <v>0</v>
      </c>
      <c r="G91" s="39">
        <f t="shared" si="108"/>
        <v>11400000</v>
      </c>
      <c r="H91" s="39">
        <f t="shared" si="108"/>
        <v>23406000</v>
      </c>
      <c r="I91" s="39">
        <f t="shared" si="108"/>
        <v>6108203.6699999999</v>
      </c>
      <c r="J91" s="39">
        <f t="shared" si="108"/>
        <v>11400000</v>
      </c>
      <c r="K91" s="39">
        <f t="shared" si="108"/>
        <v>28697796.329999998</v>
      </c>
      <c r="L91" s="39">
        <f t="shared" si="108"/>
        <v>11216527.939999999</v>
      </c>
      <c r="M91" s="39">
        <f t="shared" si="108"/>
        <v>11400000</v>
      </c>
      <c r="N91" s="39">
        <f t="shared" si="108"/>
        <v>28881268.390000001</v>
      </c>
      <c r="O91" s="39">
        <f t="shared" si="108"/>
        <v>3303425.16</v>
      </c>
      <c r="P91" s="39">
        <f t="shared" si="108"/>
        <v>10550000</v>
      </c>
      <c r="Q91" s="39">
        <f t="shared" si="108"/>
        <v>36127843.230000004</v>
      </c>
      <c r="R91" s="39">
        <f t="shared" si="108"/>
        <v>3126238</v>
      </c>
      <c r="S91" s="39">
        <f t="shared" si="108"/>
        <v>9850000</v>
      </c>
      <c r="T91" s="39">
        <f t="shared" si="108"/>
        <v>42851605.230000004</v>
      </c>
      <c r="U91" s="39">
        <f t="shared" si="108"/>
        <v>0</v>
      </c>
      <c r="V91" s="39">
        <f t="shared" si="108"/>
        <v>10550000</v>
      </c>
      <c r="W91" s="39">
        <f t="shared" si="108"/>
        <v>53401605.230000004</v>
      </c>
      <c r="X91" s="39">
        <f t="shared" si="108"/>
        <v>0</v>
      </c>
      <c r="Y91" s="39">
        <f t="shared" si="108"/>
        <v>10550000</v>
      </c>
      <c r="Z91" s="39">
        <f t="shared" si="108"/>
        <v>63951605.230000004</v>
      </c>
      <c r="AA91" s="39">
        <f t="shared" si="108"/>
        <v>0</v>
      </c>
      <c r="AB91" s="39">
        <f t="shared" si="108"/>
        <v>10550000</v>
      </c>
      <c r="AC91" s="39">
        <f t="shared" si="108"/>
        <v>74501605.230000004</v>
      </c>
      <c r="AD91" s="39">
        <f t="shared" si="108"/>
        <v>0</v>
      </c>
      <c r="AE91" s="39">
        <f t="shared" si="108"/>
        <v>9350000</v>
      </c>
      <c r="AF91" s="39">
        <f t="shared" si="108"/>
        <v>83851605.230000004</v>
      </c>
      <c r="AG91" s="39">
        <f t="shared" si="108"/>
        <v>0</v>
      </c>
      <c r="AH91" s="39">
        <f t="shared" si="108"/>
        <v>9350000</v>
      </c>
      <c r="AI91" s="39">
        <f t="shared" si="108"/>
        <v>93201605.230000004</v>
      </c>
      <c r="AJ91" s="39">
        <f t="shared" si="108"/>
        <v>0</v>
      </c>
      <c r="AK91" s="39">
        <f t="shared" si="108"/>
        <v>9350000</v>
      </c>
      <c r="AL91" s="39">
        <f t="shared" si="108"/>
        <v>102551605.23</v>
      </c>
      <c r="AM91" s="39">
        <f t="shared" si="108"/>
        <v>0</v>
      </c>
      <c r="AN91" s="54">
        <f t="shared" si="103"/>
        <v>126306000</v>
      </c>
      <c r="AO91" s="58">
        <f t="shared" si="104"/>
        <v>23754394.77</v>
      </c>
      <c r="AP91" s="54">
        <f t="shared" si="105"/>
        <v>102551605.23</v>
      </c>
    </row>
    <row r="92" spans="1:42" x14ac:dyDescent="0.2">
      <c r="A92" s="37" t="s">
        <v>89</v>
      </c>
      <c r="B92" s="40"/>
      <c r="C92" s="40"/>
      <c r="D92" s="40"/>
      <c r="E92" s="107">
        <v>800000</v>
      </c>
      <c r="F92" s="68">
        <f>VLOOKUP(A92,APR!$A$4:$K$99,11,0)</f>
        <v>0</v>
      </c>
      <c r="G92" s="107">
        <v>800000</v>
      </c>
      <c r="H92" s="68">
        <f t="shared" ref="H92:H98" si="109">E92-F92+G92</f>
        <v>1600000</v>
      </c>
      <c r="I92" s="68">
        <f>VLOOKUP(A92,MAY!$A$4:$K$99,11,0)</f>
        <v>15340</v>
      </c>
      <c r="J92" s="107">
        <v>800000</v>
      </c>
      <c r="K92" s="68">
        <f t="shared" ref="K92:K98" si="110">H92-I92+J92</f>
        <v>2384660</v>
      </c>
      <c r="L92" s="68">
        <f>VLOOKUP(A92,JUN!$A$4:$K$99,11,0)</f>
        <v>2203123.4</v>
      </c>
      <c r="M92" s="107">
        <v>800000</v>
      </c>
      <c r="N92" s="68">
        <f t="shared" ref="N92:N98" si="111">K92-L92+M92</f>
        <v>981536.60000000009</v>
      </c>
      <c r="O92" s="68">
        <f>VLOOKUP(A92,JUL!$A$4:$K$99,11,0)</f>
        <v>1212426</v>
      </c>
      <c r="P92" s="107">
        <v>1500000</v>
      </c>
      <c r="Q92" s="68">
        <f t="shared" ref="Q92:Q98" si="112">N92-O92+P92</f>
        <v>1269110.6000000001</v>
      </c>
      <c r="R92" s="175">
        <f>VLOOKUP(A92,AUG!$A$4:$K$99,11,0)</f>
        <v>786494</v>
      </c>
      <c r="S92" s="107">
        <v>800000</v>
      </c>
      <c r="T92" s="68">
        <f t="shared" ref="T92:T98" si="113">Q92-R92+S92</f>
        <v>1282616.6000000001</v>
      </c>
      <c r="U92" s="107"/>
      <c r="V92" s="107">
        <v>1500000</v>
      </c>
      <c r="W92" s="68">
        <f t="shared" ref="W92:W98" si="114">T92-U92+V92</f>
        <v>2782616.6</v>
      </c>
      <c r="X92" s="107"/>
      <c r="Y92" s="107">
        <v>1500000</v>
      </c>
      <c r="Z92" s="68">
        <f t="shared" ref="Z92:Z98" si="115">W92-X92+Y92</f>
        <v>4282616.5999999996</v>
      </c>
      <c r="AA92" s="107"/>
      <c r="AB92" s="107">
        <v>1500000</v>
      </c>
      <c r="AC92" s="68">
        <f t="shared" ref="AC92:AC98" si="116">Z92-AA92+AB92</f>
        <v>5782616.5999999996</v>
      </c>
      <c r="AD92" s="107"/>
      <c r="AE92" s="107">
        <v>800000</v>
      </c>
      <c r="AF92" s="68">
        <f t="shared" ref="AF92:AF98" si="117">AC92-AD92+AE92</f>
        <v>6582616.5999999996</v>
      </c>
      <c r="AG92" s="107"/>
      <c r="AH92" s="107">
        <v>800000</v>
      </c>
      <c r="AI92" s="68">
        <f t="shared" ref="AI92:AI98" si="118">AF92-AG92+AH92</f>
        <v>7382616.5999999996</v>
      </c>
      <c r="AJ92" s="107"/>
      <c r="AK92" s="107">
        <v>800000</v>
      </c>
      <c r="AL92" s="68">
        <f t="shared" ref="AL92:AL98" si="119">AI92-AJ92+AK92</f>
        <v>8182616.5999999996</v>
      </c>
      <c r="AM92" s="108"/>
      <c r="AN92" s="109">
        <f t="shared" si="103"/>
        <v>12400000</v>
      </c>
      <c r="AO92" s="110">
        <f t="shared" si="104"/>
        <v>4217383.4000000004</v>
      </c>
      <c r="AP92" s="109">
        <f t="shared" si="105"/>
        <v>8182616.5999999996</v>
      </c>
    </row>
    <row r="93" spans="1:42" x14ac:dyDescent="0.2">
      <c r="A93" s="37" t="s">
        <v>90</v>
      </c>
      <c r="B93" s="40"/>
      <c r="C93" s="40"/>
      <c r="D93" s="40"/>
      <c r="E93" s="107">
        <v>100000</v>
      </c>
      <c r="F93" s="68">
        <f>VLOOKUP(A93,APR!$A$4:$K$99,11,0)</f>
        <v>0</v>
      </c>
      <c r="G93" s="107">
        <v>100000</v>
      </c>
      <c r="H93" s="68">
        <f t="shared" si="109"/>
        <v>200000</v>
      </c>
      <c r="I93" s="68">
        <f>VLOOKUP(A93,MAY!$A$4:$K$99,11,0)</f>
        <v>13000</v>
      </c>
      <c r="J93" s="107">
        <v>100000</v>
      </c>
      <c r="K93" s="68">
        <f t="shared" si="110"/>
        <v>287000</v>
      </c>
      <c r="L93" s="68">
        <f>VLOOKUP(A93,JUN!$A$4:$K$99,11,0)</f>
        <v>53500</v>
      </c>
      <c r="M93" s="107">
        <v>100000</v>
      </c>
      <c r="N93" s="68">
        <f t="shared" si="111"/>
        <v>333500</v>
      </c>
      <c r="O93" s="68">
        <f>VLOOKUP(A93,JUL!$A$4:$K$99,11,0)</f>
        <v>34000</v>
      </c>
      <c r="P93" s="107">
        <v>50000</v>
      </c>
      <c r="Q93" s="68">
        <f t="shared" si="112"/>
        <v>349500</v>
      </c>
      <c r="R93" s="175">
        <f>VLOOKUP(A93,AUG!$A$4:$K$99,11,0)</f>
        <v>7000</v>
      </c>
      <c r="S93" s="107">
        <v>50000</v>
      </c>
      <c r="T93" s="68">
        <f t="shared" si="113"/>
        <v>392500</v>
      </c>
      <c r="U93" s="107"/>
      <c r="V93" s="107">
        <v>50000</v>
      </c>
      <c r="W93" s="68">
        <f t="shared" si="114"/>
        <v>442500</v>
      </c>
      <c r="X93" s="107"/>
      <c r="Y93" s="107">
        <v>50000</v>
      </c>
      <c r="Z93" s="68">
        <f t="shared" si="115"/>
        <v>492500</v>
      </c>
      <c r="AA93" s="107"/>
      <c r="AB93" s="107">
        <v>50000</v>
      </c>
      <c r="AC93" s="68">
        <f t="shared" si="116"/>
        <v>542500</v>
      </c>
      <c r="AD93" s="107"/>
      <c r="AE93" s="107">
        <v>50000</v>
      </c>
      <c r="AF93" s="68">
        <f t="shared" si="117"/>
        <v>592500</v>
      </c>
      <c r="AG93" s="107"/>
      <c r="AH93" s="107">
        <v>50000</v>
      </c>
      <c r="AI93" s="68">
        <f t="shared" si="118"/>
        <v>642500</v>
      </c>
      <c r="AJ93" s="107"/>
      <c r="AK93" s="107">
        <v>50000</v>
      </c>
      <c r="AL93" s="68">
        <f t="shared" si="119"/>
        <v>692500</v>
      </c>
      <c r="AM93" s="108"/>
      <c r="AN93" s="109">
        <f t="shared" si="103"/>
        <v>800000</v>
      </c>
      <c r="AO93" s="110">
        <f t="shared" si="104"/>
        <v>107500</v>
      </c>
      <c r="AP93" s="109">
        <f t="shared" si="105"/>
        <v>692500</v>
      </c>
    </row>
    <row r="94" spans="1:42" x14ac:dyDescent="0.2">
      <c r="A94" s="37" t="s">
        <v>91</v>
      </c>
      <c r="B94" s="40"/>
      <c r="C94" s="40"/>
      <c r="D94" s="40"/>
      <c r="E94" s="107">
        <v>1500000</v>
      </c>
      <c r="F94" s="68">
        <f>VLOOKUP(A94,APR!$A$4:$K$99,11,0)</f>
        <v>0</v>
      </c>
      <c r="G94" s="107">
        <v>1500000</v>
      </c>
      <c r="H94" s="68">
        <f t="shared" si="109"/>
        <v>3000000</v>
      </c>
      <c r="I94" s="68">
        <f>VLOOKUP(A94,MAY!$A$4:$K$99,11,0)</f>
        <v>5916750</v>
      </c>
      <c r="J94" s="107">
        <v>1500000</v>
      </c>
      <c r="K94" s="68">
        <f t="shared" si="110"/>
        <v>-1416750</v>
      </c>
      <c r="L94" s="68">
        <f>VLOOKUP(A94,JUN!$A$4:$K$99,11,0)</f>
        <v>4723681.87</v>
      </c>
      <c r="M94" s="107">
        <v>1500000</v>
      </c>
      <c r="N94" s="68">
        <f t="shared" si="111"/>
        <v>-4640431.87</v>
      </c>
      <c r="O94" s="68">
        <f>VLOOKUP(A94,JUL!$A$4:$K$99,11,0)</f>
        <v>1215900</v>
      </c>
      <c r="P94" s="107">
        <v>2000000</v>
      </c>
      <c r="Q94" s="68">
        <f t="shared" si="112"/>
        <v>-3856331.87</v>
      </c>
      <c r="R94" s="175">
        <f>VLOOKUP(A94,AUG!$A$4:$K$99,11,0)</f>
        <v>2057091</v>
      </c>
      <c r="S94" s="107">
        <v>2000000</v>
      </c>
      <c r="T94" s="68">
        <f t="shared" si="113"/>
        <v>-3913422.87</v>
      </c>
      <c r="U94" s="107"/>
      <c r="V94" s="107">
        <v>2000000</v>
      </c>
      <c r="W94" s="68">
        <f t="shared" si="114"/>
        <v>-1913422.87</v>
      </c>
      <c r="X94" s="107"/>
      <c r="Y94" s="107">
        <v>2000000</v>
      </c>
      <c r="Z94" s="68">
        <f t="shared" si="115"/>
        <v>86577.129999999888</v>
      </c>
      <c r="AA94" s="107"/>
      <c r="AB94" s="107">
        <v>2000000</v>
      </c>
      <c r="AC94" s="68">
        <f t="shared" si="116"/>
        <v>2086577.13</v>
      </c>
      <c r="AD94" s="107"/>
      <c r="AE94" s="107">
        <v>1500000</v>
      </c>
      <c r="AF94" s="68">
        <f t="shared" si="117"/>
        <v>3586577.13</v>
      </c>
      <c r="AG94" s="107"/>
      <c r="AH94" s="107">
        <v>1500000</v>
      </c>
      <c r="AI94" s="68">
        <f t="shared" si="118"/>
        <v>5086577.13</v>
      </c>
      <c r="AJ94" s="107"/>
      <c r="AK94" s="107">
        <v>1500000</v>
      </c>
      <c r="AL94" s="68">
        <f t="shared" si="119"/>
        <v>6586577.1299999999</v>
      </c>
      <c r="AM94" s="108"/>
      <c r="AN94" s="109">
        <f t="shared" si="103"/>
        <v>20500000</v>
      </c>
      <c r="AO94" s="110">
        <f t="shared" si="104"/>
        <v>13913422.870000001</v>
      </c>
      <c r="AP94" s="109">
        <f t="shared" si="105"/>
        <v>6586577.129999999</v>
      </c>
    </row>
    <row r="95" spans="1:42" x14ac:dyDescent="0.2">
      <c r="A95" s="42" t="s">
        <v>92</v>
      </c>
      <c r="B95" s="44"/>
      <c r="C95" s="44"/>
      <c r="D95" s="44"/>
      <c r="E95" s="107">
        <v>1000000</v>
      </c>
      <c r="F95" s="68">
        <f>VLOOKUP(A95,APR!$A$4:$K$99,11,0)</f>
        <v>0</v>
      </c>
      <c r="G95" s="107">
        <v>1000000</v>
      </c>
      <c r="H95" s="68">
        <f t="shared" si="109"/>
        <v>2000000</v>
      </c>
      <c r="I95" s="68">
        <f>VLOOKUP(A95,MAY!$A$4:$K$99,11,0)</f>
        <v>0</v>
      </c>
      <c r="J95" s="107">
        <v>1000000</v>
      </c>
      <c r="K95" s="68">
        <f t="shared" si="110"/>
        <v>3000000</v>
      </c>
      <c r="L95" s="68">
        <f>VLOOKUP(A95,JUN!$A$4:$K$99,11,0)</f>
        <v>0</v>
      </c>
      <c r="M95" s="107">
        <v>1000000</v>
      </c>
      <c r="N95" s="68">
        <f t="shared" si="111"/>
        <v>4000000</v>
      </c>
      <c r="O95" s="68">
        <f>VLOOKUP(A95,JUL!$A$4:$K$99,11,0)</f>
        <v>0</v>
      </c>
      <c r="P95" s="107">
        <v>1000000</v>
      </c>
      <c r="Q95" s="68">
        <f t="shared" si="112"/>
        <v>5000000</v>
      </c>
      <c r="R95" s="175">
        <f>VLOOKUP(A95,AUG!$A$4:$K$99,11,0)</f>
        <v>0</v>
      </c>
      <c r="S95" s="107">
        <v>1000000</v>
      </c>
      <c r="T95" s="68">
        <f t="shared" si="113"/>
        <v>6000000</v>
      </c>
      <c r="U95" s="107"/>
      <c r="V95" s="107">
        <v>1000000</v>
      </c>
      <c r="W95" s="68">
        <f t="shared" si="114"/>
        <v>7000000</v>
      </c>
      <c r="X95" s="107"/>
      <c r="Y95" s="107">
        <v>1000000</v>
      </c>
      <c r="Z95" s="68">
        <f t="shared" si="115"/>
        <v>8000000</v>
      </c>
      <c r="AA95" s="107"/>
      <c r="AB95" s="107">
        <v>1000000</v>
      </c>
      <c r="AC95" s="68">
        <f t="shared" si="116"/>
        <v>9000000</v>
      </c>
      <c r="AD95" s="107"/>
      <c r="AE95" s="107">
        <v>1000000</v>
      </c>
      <c r="AF95" s="68">
        <f t="shared" si="117"/>
        <v>10000000</v>
      </c>
      <c r="AG95" s="107"/>
      <c r="AH95" s="107">
        <v>1000000</v>
      </c>
      <c r="AI95" s="68">
        <f t="shared" si="118"/>
        <v>11000000</v>
      </c>
      <c r="AJ95" s="107"/>
      <c r="AK95" s="107">
        <v>1000000</v>
      </c>
      <c r="AL95" s="68">
        <f t="shared" si="119"/>
        <v>12000000</v>
      </c>
      <c r="AM95" s="108"/>
      <c r="AN95" s="109">
        <f t="shared" si="103"/>
        <v>12000000</v>
      </c>
      <c r="AO95" s="110">
        <f t="shared" si="104"/>
        <v>0</v>
      </c>
      <c r="AP95" s="109">
        <f t="shared" si="105"/>
        <v>12000000</v>
      </c>
    </row>
    <row r="96" spans="1:42" x14ac:dyDescent="0.2">
      <c r="A96" s="42" t="s">
        <v>93</v>
      </c>
      <c r="B96" s="44"/>
      <c r="C96" s="44"/>
      <c r="D96" s="44"/>
      <c r="E96" s="107">
        <v>500000</v>
      </c>
      <c r="F96" s="68">
        <f>VLOOKUP(A96,APR!$A$4:$K$99,11,0)</f>
        <v>0</v>
      </c>
      <c r="G96" s="107">
        <v>1000000</v>
      </c>
      <c r="H96" s="68">
        <f t="shared" si="109"/>
        <v>1500000</v>
      </c>
      <c r="I96" s="68">
        <f>VLOOKUP(A96,MAY!$A$4:$K$99,11,0)</f>
        <v>9440</v>
      </c>
      <c r="J96" s="107">
        <v>1000000</v>
      </c>
      <c r="K96" s="68">
        <f t="shared" si="110"/>
        <v>2490560</v>
      </c>
      <c r="L96" s="68">
        <f>VLOOKUP(A96,JUN!$A$4:$K$99,11,0)</f>
        <v>0</v>
      </c>
      <c r="M96" s="107">
        <v>1000000</v>
      </c>
      <c r="N96" s="68">
        <f t="shared" si="111"/>
        <v>3490560</v>
      </c>
      <c r="O96" s="68">
        <f>VLOOKUP(A96,JUL!$A$4:$K$99,11,0)</f>
        <v>0</v>
      </c>
      <c r="P96" s="107">
        <v>1000000</v>
      </c>
      <c r="Q96" s="68">
        <f t="shared" si="112"/>
        <v>4490560</v>
      </c>
      <c r="R96" s="175">
        <f>VLOOKUP(A96,AUG!$A$4:$K$99,11,0)</f>
        <v>0</v>
      </c>
      <c r="S96" s="107">
        <v>1000000</v>
      </c>
      <c r="T96" s="68">
        <f t="shared" si="113"/>
        <v>5490560</v>
      </c>
      <c r="U96" s="107"/>
      <c r="V96" s="107">
        <v>1000000</v>
      </c>
      <c r="W96" s="68">
        <f t="shared" si="114"/>
        <v>6490560</v>
      </c>
      <c r="X96" s="107"/>
      <c r="Y96" s="107">
        <v>1000000</v>
      </c>
      <c r="Z96" s="68">
        <f t="shared" si="115"/>
        <v>7490560</v>
      </c>
      <c r="AA96" s="107"/>
      <c r="AB96" s="107">
        <v>1000000</v>
      </c>
      <c r="AC96" s="68">
        <f t="shared" si="116"/>
        <v>8490560</v>
      </c>
      <c r="AD96" s="107"/>
      <c r="AE96" s="107">
        <v>1000000</v>
      </c>
      <c r="AF96" s="68">
        <f t="shared" si="117"/>
        <v>9490560</v>
      </c>
      <c r="AG96" s="107"/>
      <c r="AH96" s="107">
        <v>1000000</v>
      </c>
      <c r="AI96" s="68">
        <f t="shared" si="118"/>
        <v>10490560</v>
      </c>
      <c r="AJ96" s="107"/>
      <c r="AK96" s="107">
        <v>1000000</v>
      </c>
      <c r="AL96" s="68">
        <f t="shared" si="119"/>
        <v>11490560</v>
      </c>
      <c r="AM96" s="108"/>
      <c r="AN96" s="109">
        <f t="shared" si="103"/>
        <v>11500000</v>
      </c>
      <c r="AO96" s="110">
        <f t="shared" si="104"/>
        <v>9440</v>
      </c>
      <c r="AP96" s="109">
        <f t="shared" si="105"/>
        <v>11490560</v>
      </c>
    </row>
    <row r="97" spans="1:43" x14ac:dyDescent="0.2">
      <c r="A97" s="42" t="s">
        <v>94</v>
      </c>
      <c r="B97" s="44"/>
      <c r="C97" s="44"/>
      <c r="D97" s="44"/>
      <c r="E97" s="100">
        <f>2000000+1106000</f>
        <v>3106000</v>
      </c>
      <c r="F97" s="68">
        <f>VLOOKUP(A97,APR!$A$4:$K$99,11,0)</f>
        <v>0</v>
      </c>
      <c r="G97" s="100">
        <v>2000000</v>
      </c>
      <c r="H97" s="68">
        <f t="shared" si="109"/>
        <v>5106000</v>
      </c>
      <c r="I97" s="68">
        <f>VLOOKUP(A97,MAY!$A$4:$K$99,11,0)</f>
        <v>153673.66999999998</v>
      </c>
      <c r="J97" s="100">
        <v>2000000</v>
      </c>
      <c r="K97" s="68">
        <f t="shared" si="110"/>
        <v>6952326.3300000001</v>
      </c>
      <c r="L97" s="68">
        <f>VLOOKUP(A97,JUN!$A$4:$K$99,11,0)</f>
        <v>4236222.67</v>
      </c>
      <c r="M97" s="100">
        <v>2000000</v>
      </c>
      <c r="N97" s="68">
        <f t="shared" si="111"/>
        <v>4716103.66</v>
      </c>
      <c r="O97" s="68">
        <f>VLOOKUP(A97,JUL!$A$4:$K$99,11,0)</f>
        <v>841099.15999999992</v>
      </c>
      <c r="P97" s="100">
        <v>2000000</v>
      </c>
      <c r="Q97" s="68">
        <f t="shared" si="112"/>
        <v>5875004.5</v>
      </c>
      <c r="R97" s="175">
        <f>VLOOKUP(A97,AUG!$A$4:$K$99,11,0)</f>
        <v>275653</v>
      </c>
      <c r="S97" s="100">
        <v>2000000</v>
      </c>
      <c r="T97" s="68">
        <f t="shared" si="113"/>
        <v>7599351.5</v>
      </c>
      <c r="U97" s="100"/>
      <c r="V97" s="100">
        <v>2000000</v>
      </c>
      <c r="W97" s="68">
        <f t="shared" si="114"/>
        <v>9599351.5</v>
      </c>
      <c r="X97" s="100"/>
      <c r="Y97" s="100">
        <v>2000000</v>
      </c>
      <c r="Z97" s="68">
        <f t="shared" si="115"/>
        <v>11599351.5</v>
      </c>
      <c r="AA97" s="100"/>
      <c r="AB97" s="100">
        <v>2000000</v>
      </c>
      <c r="AC97" s="68">
        <f t="shared" si="116"/>
        <v>13599351.5</v>
      </c>
      <c r="AD97" s="100"/>
      <c r="AE97" s="100">
        <v>2000000</v>
      </c>
      <c r="AF97" s="68">
        <f t="shared" si="117"/>
        <v>15599351.5</v>
      </c>
      <c r="AG97" s="100"/>
      <c r="AH97" s="100">
        <v>2000000</v>
      </c>
      <c r="AI97" s="68">
        <f t="shared" si="118"/>
        <v>17599351.5</v>
      </c>
      <c r="AJ97" s="100"/>
      <c r="AK97" s="100">
        <v>2000000</v>
      </c>
      <c r="AL97" s="68">
        <f t="shared" si="119"/>
        <v>19599351.5</v>
      </c>
      <c r="AM97" s="101"/>
      <c r="AN97" s="102">
        <f t="shared" si="103"/>
        <v>25106000</v>
      </c>
      <c r="AO97" s="103">
        <f t="shared" si="104"/>
        <v>5506648.5</v>
      </c>
      <c r="AP97" s="102">
        <f t="shared" si="105"/>
        <v>19599351.5</v>
      </c>
    </row>
    <row r="98" spans="1:43" ht="17" thickBot="1" x14ac:dyDescent="0.25">
      <c r="A98" s="59" t="s">
        <v>95</v>
      </c>
      <c r="B98" s="60"/>
      <c r="C98" s="60"/>
      <c r="D98" s="60"/>
      <c r="E98" s="111">
        <v>5000000</v>
      </c>
      <c r="F98" s="68">
        <f>VLOOKUP(A98,APR!$A$4:$K$99,11,0)</f>
        <v>0</v>
      </c>
      <c r="G98" s="111">
        <v>5000000</v>
      </c>
      <c r="H98" s="112">
        <f t="shared" si="109"/>
        <v>10000000</v>
      </c>
      <c r="I98" s="68">
        <f>VLOOKUP(A98,MAY!$A$4:$K$99,11,0)</f>
        <v>0</v>
      </c>
      <c r="J98" s="111">
        <v>5000000</v>
      </c>
      <c r="K98" s="112">
        <f t="shared" si="110"/>
        <v>15000000</v>
      </c>
      <c r="L98" s="68">
        <f>VLOOKUP(A98,JUN!$A$4:$K$99,11,0)</f>
        <v>0</v>
      </c>
      <c r="M98" s="111">
        <v>5000000</v>
      </c>
      <c r="N98" s="112">
        <f t="shared" si="111"/>
        <v>20000000</v>
      </c>
      <c r="O98" s="68">
        <f>VLOOKUP(A98,JUL!$A$4:$K$99,11,0)</f>
        <v>0</v>
      </c>
      <c r="P98" s="111">
        <v>3000000</v>
      </c>
      <c r="Q98" s="112">
        <f t="shared" si="112"/>
        <v>23000000</v>
      </c>
      <c r="R98" s="175">
        <f>VLOOKUP(A98,AUG!$A$4:$K$99,11,0)</f>
        <v>0</v>
      </c>
      <c r="S98" s="111">
        <v>3000000</v>
      </c>
      <c r="T98" s="112">
        <f t="shared" si="113"/>
        <v>26000000</v>
      </c>
      <c r="U98" s="111"/>
      <c r="V98" s="111">
        <v>3000000</v>
      </c>
      <c r="W98" s="112">
        <f t="shared" si="114"/>
        <v>29000000</v>
      </c>
      <c r="X98" s="111"/>
      <c r="Y98" s="111">
        <v>3000000</v>
      </c>
      <c r="Z98" s="112">
        <f t="shared" si="115"/>
        <v>32000000</v>
      </c>
      <c r="AA98" s="111"/>
      <c r="AB98" s="111">
        <v>3000000</v>
      </c>
      <c r="AC98" s="112">
        <f t="shared" si="116"/>
        <v>35000000</v>
      </c>
      <c r="AD98" s="111"/>
      <c r="AE98" s="111">
        <v>3000000</v>
      </c>
      <c r="AF98" s="112">
        <f t="shared" si="117"/>
        <v>38000000</v>
      </c>
      <c r="AG98" s="111"/>
      <c r="AH98" s="111">
        <v>3000000</v>
      </c>
      <c r="AI98" s="112">
        <f t="shared" si="118"/>
        <v>41000000</v>
      </c>
      <c r="AJ98" s="111"/>
      <c r="AK98" s="111">
        <v>3000000</v>
      </c>
      <c r="AL98" s="112">
        <f t="shared" si="119"/>
        <v>44000000</v>
      </c>
      <c r="AM98" s="113"/>
      <c r="AN98" s="114">
        <f t="shared" si="103"/>
        <v>44000000</v>
      </c>
      <c r="AO98" s="115">
        <f t="shared" si="104"/>
        <v>0</v>
      </c>
      <c r="AP98" s="114">
        <f t="shared" si="105"/>
        <v>44000000</v>
      </c>
    </row>
    <row r="99" spans="1:43" ht="14.25" customHeight="1" thickBot="1" x14ac:dyDescent="0.25">
      <c r="A99" s="63" t="s">
        <v>96</v>
      </c>
      <c r="B99" s="64"/>
      <c r="C99" s="64"/>
      <c r="D99" s="64"/>
      <c r="E99" s="65">
        <f>SUM(E4+E8+E15+E17+E27+E34+E39+E41+E50+E55+E68+E43+E86+E88+E91)</f>
        <v>69255637.5</v>
      </c>
      <c r="F99" s="65">
        <f t="shared" ref="F99:AP99" si="120">SUM(F4+F8+F15+F17+F27+F34+F39+F41+F50+F55+F68+F43+F86+F88+F91)</f>
        <v>5724057</v>
      </c>
      <c r="G99" s="65">
        <f t="shared" si="120"/>
        <v>48560000</v>
      </c>
      <c r="H99" s="65">
        <f t="shared" si="120"/>
        <v>112091580.5</v>
      </c>
      <c r="I99" s="65">
        <f t="shared" si="120"/>
        <v>60985408.170000002</v>
      </c>
      <c r="J99" s="65">
        <f t="shared" si="120"/>
        <v>46610000</v>
      </c>
      <c r="K99" s="65">
        <f t="shared" si="120"/>
        <v>97716172.329999998</v>
      </c>
      <c r="L99" s="65">
        <f t="shared" si="120"/>
        <v>23983206.119999997</v>
      </c>
      <c r="M99" s="65">
        <f t="shared" si="120"/>
        <v>69152800</v>
      </c>
      <c r="N99" s="65">
        <f t="shared" si="120"/>
        <v>142885766.21000004</v>
      </c>
      <c r="O99" s="65">
        <f t="shared" si="120"/>
        <v>22767832.949999999</v>
      </c>
      <c r="P99" s="65">
        <f t="shared" si="120"/>
        <v>61160000</v>
      </c>
      <c r="Q99" s="65">
        <f t="shared" si="120"/>
        <v>181277933.25999999</v>
      </c>
      <c r="R99" s="65">
        <f t="shared" si="120"/>
        <v>8963907</v>
      </c>
      <c r="S99" s="65">
        <f t="shared" si="120"/>
        <v>80618000</v>
      </c>
      <c r="T99" s="65">
        <f t="shared" si="120"/>
        <v>252932026.25999999</v>
      </c>
      <c r="U99" s="65">
        <f t="shared" si="120"/>
        <v>0</v>
      </c>
      <c r="V99" s="65">
        <f t="shared" si="120"/>
        <v>17660000</v>
      </c>
      <c r="W99" s="65">
        <f t="shared" si="120"/>
        <v>270592026.25999999</v>
      </c>
      <c r="X99" s="65">
        <f t="shared" si="120"/>
        <v>0</v>
      </c>
      <c r="Y99" s="65">
        <f t="shared" si="120"/>
        <v>44510000</v>
      </c>
      <c r="Z99" s="65">
        <f t="shared" si="120"/>
        <v>315102026.25999999</v>
      </c>
      <c r="AA99" s="65">
        <f t="shared" si="120"/>
        <v>0</v>
      </c>
      <c r="AB99" s="65">
        <f t="shared" si="120"/>
        <v>20710000</v>
      </c>
      <c r="AC99" s="65">
        <f t="shared" si="120"/>
        <v>335812026.25999999</v>
      </c>
      <c r="AD99" s="65">
        <f t="shared" si="120"/>
        <v>0</v>
      </c>
      <c r="AE99" s="65">
        <f t="shared" si="120"/>
        <v>16460000</v>
      </c>
      <c r="AF99" s="65">
        <f t="shared" si="120"/>
        <v>352272026.25999999</v>
      </c>
      <c r="AG99" s="65">
        <f t="shared" si="120"/>
        <v>0</v>
      </c>
      <c r="AH99" s="65">
        <f t="shared" si="120"/>
        <v>24510000</v>
      </c>
      <c r="AI99" s="65">
        <f t="shared" si="120"/>
        <v>376782026.25999999</v>
      </c>
      <c r="AJ99" s="65">
        <f t="shared" si="120"/>
        <v>0</v>
      </c>
      <c r="AK99" s="65">
        <f t="shared" si="120"/>
        <v>15010000</v>
      </c>
      <c r="AL99" s="65">
        <f t="shared" si="120"/>
        <v>391792026.25999999</v>
      </c>
      <c r="AM99" s="66">
        <f t="shared" si="120"/>
        <v>0</v>
      </c>
      <c r="AN99" s="3">
        <f t="shared" si="120"/>
        <v>514216437.5</v>
      </c>
      <c r="AO99" s="3">
        <f t="shared" si="120"/>
        <v>122424411.23999999</v>
      </c>
      <c r="AP99" s="3">
        <f t="shared" si="120"/>
        <v>391792026.25999999</v>
      </c>
    </row>
    <row r="100" spans="1:43" x14ac:dyDescent="0.2">
      <c r="A100" s="61"/>
      <c r="B100" s="61"/>
      <c r="C100" s="61"/>
      <c r="D100" s="61"/>
      <c r="E100" s="62"/>
      <c r="F100" s="62"/>
      <c r="G100" s="62"/>
      <c r="H100" s="62"/>
      <c r="I100" s="62"/>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row>
    <row r="101" spans="1:43" s="4" customFormat="1" x14ac:dyDescent="0.2">
      <c r="A101" s="46" t="s">
        <v>97</v>
      </c>
      <c r="B101" s="47"/>
      <c r="C101" s="47"/>
      <c r="D101" s="47"/>
      <c r="E101" s="168">
        <f>E99/10000000</f>
        <v>6.9255637500000002</v>
      </c>
      <c r="F101" s="168">
        <f>F99/10000000</f>
        <v>0.57240570000000002</v>
      </c>
      <c r="G101" s="168">
        <f t="shared" ref="G101:AN101" si="121">G99/10000000</f>
        <v>4.8559999999999999</v>
      </c>
      <c r="H101" s="168">
        <f t="shared" si="121"/>
        <v>11.209158049999999</v>
      </c>
      <c r="I101" s="168">
        <f t="shared" si="121"/>
        <v>6.0985408169999999</v>
      </c>
      <c r="J101" s="168">
        <f t="shared" si="121"/>
        <v>4.6609999999999996</v>
      </c>
      <c r="K101" s="168">
        <f t="shared" si="121"/>
        <v>9.7716172330000006</v>
      </c>
      <c r="L101" s="168">
        <f t="shared" si="121"/>
        <v>2.3983206119999996</v>
      </c>
      <c r="M101" s="168">
        <f t="shared" si="121"/>
        <v>6.9152800000000001</v>
      </c>
      <c r="N101" s="168">
        <f t="shared" si="121"/>
        <v>14.288576621000004</v>
      </c>
      <c r="O101" s="168">
        <f t="shared" si="121"/>
        <v>2.276783295</v>
      </c>
      <c r="P101" s="168">
        <f t="shared" si="121"/>
        <v>6.1159999999999997</v>
      </c>
      <c r="Q101" s="168">
        <f t="shared" si="121"/>
        <v>18.127793325999999</v>
      </c>
      <c r="R101" s="168">
        <f t="shared" si="121"/>
        <v>0.89639069999999998</v>
      </c>
      <c r="S101" s="168">
        <f t="shared" si="121"/>
        <v>8.0617999999999999</v>
      </c>
      <c r="T101" s="168">
        <f t="shared" si="121"/>
        <v>25.293202625999999</v>
      </c>
      <c r="U101" s="168">
        <f t="shared" si="121"/>
        <v>0</v>
      </c>
      <c r="V101" s="168">
        <f t="shared" si="121"/>
        <v>1.766</v>
      </c>
      <c r="W101" s="168">
        <f t="shared" si="121"/>
        <v>27.059202625999998</v>
      </c>
      <c r="X101" s="168">
        <f t="shared" si="121"/>
        <v>0</v>
      </c>
      <c r="Y101" s="168">
        <f t="shared" si="121"/>
        <v>4.4509999999999996</v>
      </c>
      <c r="Z101" s="168">
        <f t="shared" si="121"/>
        <v>31.510202625999998</v>
      </c>
      <c r="AA101" s="168">
        <f t="shared" si="121"/>
        <v>0</v>
      </c>
      <c r="AB101" s="168">
        <f t="shared" si="121"/>
        <v>2.0710000000000002</v>
      </c>
      <c r="AC101" s="168">
        <f t="shared" si="121"/>
        <v>33.581202626</v>
      </c>
      <c r="AD101" s="168">
        <f t="shared" si="121"/>
        <v>0</v>
      </c>
      <c r="AE101" s="168">
        <f t="shared" si="121"/>
        <v>1.6459999999999999</v>
      </c>
      <c r="AF101" s="168">
        <f t="shared" si="121"/>
        <v>35.227202626</v>
      </c>
      <c r="AG101" s="168">
        <f t="shared" si="121"/>
        <v>0</v>
      </c>
      <c r="AH101" s="168">
        <f t="shared" si="121"/>
        <v>2.4510000000000001</v>
      </c>
      <c r="AI101" s="168">
        <f t="shared" si="121"/>
        <v>37.678202626000001</v>
      </c>
      <c r="AJ101" s="168">
        <f t="shared" si="121"/>
        <v>0</v>
      </c>
      <c r="AK101" s="168">
        <f t="shared" si="121"/>
        <v>1.5009999999999999</v>
      </c>
      <c r="AL101" s="168">
        <f t="shared" si="121"/>
        <v>39.179202625999999</v>
      </c>
      <c r="AM101" s="168">
        <f t="shared" si="121"/>
        <v>0</v>
      </c>
      <c r="AN101" s="168">
        <f t="shared" si="121"/>
        <v>51.421643750000001</v>
      </c>
      <c r="AO101" s="168"/>
      <c r="AP101" s="168"/>
    </row>
    <row r="102" spans="1:43" x14ac:dyDescent="0.2">
      <c r="A102" s="117" t="s">
        <v>98</v>
      </c>
      <c r="B102" s="117"/>
      <c r="C102" s="117"/>
      <c r="D102" s="117"/>
      <c r="E102" s="118">
        <v>282</v>
      </c>
      <c r="F102" s="118"/>
      <c r="G102" s="118">
        <v>39</v>
      </c>
      <c r="H102" s="118"/>
      <c r="I102" s="118"/>
      <c r="J102" s="118">
        <v>39</v>
      </c>
      <c r="K102" s="118"/>
      <c r="L102" s="118"/>
      <c r="M102" s="118">
        <v>155</v>
      </c>
      <c r="N102" s="118"/>
      <c r="O102" s="118"/>
      <c r="P102" s="118">
        <v>76</v>
      </c>
      <c r="Q102" s="118"/>
      <c r="R102" s="118"/>
      <c r="S102" s="118">
        <v>61</v>
      </c>
      <c r="T102" s="118"/>
      <c r="U102" s="118"/>
      <c r="V102" s="119">
        <v>70</v>
      </c>
      <c r="W102" s="119"/>
      <c r="X102" s="119"/>
      <c r="Y102" s="119">
        <v>70</v>
      </c>
      <c r="Z102" s="119"/>
      <c r="AA102" s="119"/>
      <c r="AB102" s="119">
        <v>57</v>
      </c>
      <c r="AC102" s="119"/>
      <c r="AD102" s="119"/>
      <c r="AE102" s="119">
        <v>24</v>
      </c>
      <c r="AF102" s="119"/>
      <c r="AG102" s="119"/>
      <c r="AH102" s="119">
        <v>21</v>
      </c>
      <c r="AI102" s="119"/>
      <c r="AJ102" s="119"/>
      <c r="AK102" s="119">
        <v>19</v>
      </c>
      <c r="AL102" s="119"/>
      <c r="AM102" s="119"/>
      <c r="AN102" s="119">
        <f>SUM(E102:AK102)</f>
        <v>913</v>
      </c>
      <c r="AO102" s="119">
        <v>1484800</v>
      </c>
      <c r="AP102" s="119"/>
    </row>
    <row r="103" spans="1:43" x14ac:dyDescent="0.2">
      <c r="A103" s="117" t="s">
        <v>99</v>
      </c>
      <c r="B103" s="117"/>
      <c r="C103" s="117"/>
      <c r="D103" s="117"/>
      <c r="E103" s="118">
        <v>1024</v>
      </c>
      <c r="F103" s="118"/>
      <c r="G103" s="118">
        <v>135</v>
      </c>
      <c r="H103" s="118"/>
      <c r="I103" s="118"/>
      <c r="J103" s="118">
        <v>135</v>
      </c>
      <c r="K103" s="118"/>
      <c r="L103" s="118"/>
      <c r="M103" s="118">
        <v>373</v>
      </c>
      <c r="N103" s="118"/>
      <c r="O103" s="118"/>
      <c r="P103" s="118">
        <v>195</v>
      </c>
      <c r="Q103" s="118"/>
      <c r="R103" s="118"/>
      <c r="S103" s="118">
        <v>156</v>
      </c>
      <c r="T103" s="118"/>
      <c r="U103" s="118"/>
      <c r="V103" s="119">
        <v>177</v>
      </c>
      <c r="W103" s="119"/>
      <c r="X103" s="119"/>
      <c r="Y103" s="119">
        <v>176</v>
      </c>
      <c r="Z103" s="119"/>
      <c r="AA103" s="119"/>
      <c r="AB103" s="119">
        <v>135</v>
      </c>
      <c r="AC103" s="119"/>
      <c r="AD103" s="119"/>
      <c r="AE103" s="119">
        <v>81</v>
      </c>
      <c r="AF103" s="119"/>
      <c r="AG103" s="119"/>
      <c r="AH103" s="119">
        <v>74</v>
      </c>
      <c r="AI103" s="119"/>
      <c r="AJ103" s="119"/>
      <c r="AK103" s="119">
        <v>60</v>
      </c>
      <c r="AL103" s="119"/>
      <c r="AM103" s="119"/>
      <c r="AN103" s="119">
        <f>SUM(E103:AK103)</f>
        <v>2721</v>
      </c>
      <c r="AO103" s="119"/>
      <c r="AP103" s="119"/>
    </row>
    <row r="104" spans="1:43" x14ac:dyDescent="0.2">
      <c r="A104" s="117" t="s">
        <v>100</v>
      </c>
      <c r="B104" s="117"/>
      <c r="C104" s="117"/>
      <c r="D104" s="117"/>
      <c r="E104" s="120">
        <f>+E99/E102</f>
        <v>245587.36702127659</v>
      </c>
      <c r="F104" s="120"/>
      <c r="G104" s="120">
        <f t="shared" ref="G104:AK104" si="122">+G99/G102</f>
        <v>1245128.2051282052</v>
      </c>
      <c r="H104" s="120"/>
      <c r="I104" s="120"/>
      <c r="J104" s="120">
        <f t="shared" si="122"/>
        <v>1195128.2051282052</v>
      </c>
      <c r="K104" s="120"/>
      <c r="L104" s="120"/>
      <c r="M104" s="120">
        <f t="shared" si="122"/>
        <v>446147.09677419357</v>
      </c>
      <c r="N104" s="120"/>
      <c r="O104" s="120"/>
      <c r="P104" s="120">
        <f t="shared" si="122"/>
        <v>804736.84210526315</v>
      </c>
      <c r="Q104" s="120"/>
      <c r="R104" s="120"/>
      <c r="S104" s="120">
        <f t="shared" si="122"/>
        <v>1321606.5573770492</v>
      </c>
      <c r="T104" s="120"/>
      <c r="U104" s="120"/>
      <c r="V104" s="120">
        <f t="shared" si="122"/>
        <v>252285.71428571429</v>
      </c>
      <c r="W104" s="120"/>
      <c r="X104" s="120"/>
      <c r="Y104" s="120">
        <f t="shared" si="122"/>
        <v>635857.14285714284</v>
      </c>
      <c r="Z104" s="120"/>
      <c r="AA104" s="120"/>
      <c r="AB104" s="120">
        <f t="shared" si="122"/>
        <v>363333.33333333331</v>
      </c>
      <c r="AC104" s="120"/>
      <c r="AD104" s="120"/>
      <c r="AE104" s="120">
        <f t="shared" si="122"/>
        <v>685833.33333333337</v>
      </c>
      <c r="AF104" s="120"/>
      <c r="AG104" s="120"/>
      <c r="AH104" s="120">
        <f t="shared" si="122"/>
        <v>1167142.857142857</v>
      </c>
      <c r="AI104" s="120"/>
      <c r="AJ104" s="120"/>
      <c r="AK104" s="120">
        <f t="shared" si="122"/>
        <v>790000</v>
      </c>
      <c r="AL104" s="120"/>
      <c r="AM104" s="120"/>
      <c r="AN104" s="120"/>
      <c r="AO104" s="120"/>
      <c r="AP104" s="120">
        <v>1106000</v>
      </c>
    </row>
    <row r="105" spans="1:43" x14ac:dyDescent="0.2">
      <c r="A105" s="117" t="s">
        <v>101</v>
      </c>
      <c r="B105" s="117"/>
      <c r="C105" s="117"/>
      <c r="D105" s="117"/>
      <c r="E105" s="48">
        <f>+E101/E103</f>
        <v>6.7632458496093752E-3</v>
      </c>
      <c r="F105" s="48"/>
      <c r="G105" s="48">
        <f t="shared" ref="G105:AK105" si="123">+G101/G103</f>
        <v>3.5970370370370368E-2</v>
      </c>
      <c r="H105" s="48"/>
      <c r="I105" s="48"/>
      <c r="J105" s="48">
        <f t="shared" si="123"/>
        <v>3.4525925925925925E-2</v>
      </c>
      <c r="K105" s="48"/>
      <c r="L105" s="48"/>
      <c r="M105" s="48">
        <f t="shared" si="123"/>
        <v>1.8539624664879358E-2</v>
      </c>
      <c r="N105" s="48"/>
      <c r="O105" s="48"/>
      <c r="P105" s="48">
        <f t="shared" si="123"/>
        <v>3.1364102564102561E-2</v>
      </c>
      <c r="Q105" s="48"/>
      <c r="R105" s="48"/>
      <c r="S105" s="48">
        <f t="shared" si="123"/>
        <v>5.1678205128205125E-2</v>
      </c>
      <c r="T105" s="48"/>
      <c r="U105" s="48"/>
      <c r="V105" s="48">
        <f t="shared" si="123"/>
        <v>9.9774011299435025E-3</v>
      </c>
      <c r="W105" s="48"/>
      <c r="X105" s="48"/>
      <c r="Y105" s="48">
        <f t="shared" si="123"/>
        <v>2.5289772727272727E-2</v>
      </c>
      <c r="Z105" s="48"/>
      <c r="AA105" s="48"/>
      <c r="AB105" s="48">
        <f t="shared" si="123"/>
        <v>1.5340740740740742E-2</v>
      </c>
      <c r="AC105" s="48"/>
      <c r="AD105" s="48"/>
      <c r="AE105" s="48">
        <f t="shared" si="123"/>
        <v>2.0320987654320985E-2</v>
      </c>
      <c r="AF105" s="48"/>
      <c r="AG105" s="48"/>
      <c r="AH105" s="48">
        <f t="shared" si="123"/>
        <v>3.3121621621621619E-2</v>
      </c>
      <c r="AI105" s="48"/>
      <c r="AJ105" s="48"/>
      <c r="AK105" s="48">
        <f t="shared" si="123"/>
        <v>2.5016666666666666E-2</v>
      </c>
      <c r="AL105" s="48"/>
      <c r="AM105" s="48"/>
      <c r="AN105" s="48"/>
      <c r="AO105" s="48"/>
      <c r="AP105" s="48">
        <v>3400000</v>
      </c>
      <c r="AQ105">
        <v>2000000</v>
      </c>
    </row>
    <row r="106" spans="1:43" x14ac:dyDescent="0.2">
      <c r="A106" s="117"/>
      <c r="B106" s="117"/>
      <c r="C106" s="117"/>
      <c r="D106" s="117"/>
      <c r="E106" s="121"/>
      <c r="F106" s="121"/>
      <c r="G106" s="121"/>
      <c r="H106" s="121"/>
      <c r="I106" s="121"/>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v>3130000</v>
      </c>
    </row>
    <row r="107" spans="1:43" x14ac:dyDescent="0.2">
      <c r="A107" s="117" t="s">
        <v>102</v>
      </c>
      <c r="B107" s="117"/>
      <c r="C107" s="117"/>
      <c r="D107" s="117"/>
      <c r="E107" s="107">
        <f>E103</f>
        <v>1024</v>
      </c>
      <c r="F107" s="107"/>
      <c r="G107" s="122">
        <f>E107+G103</f>
        <v>1159</v>
      </c>
      <c r="H107" s="122"/>
      <c r="I107" s="122"/>
      <c r="J107" s="122">
        <f>G107+J103</f>
        <v>1294</v>
      </c>
      <c r="K107" s="122"/>
      <c r="L107" s="122"/>
      <c r="M107" s="122">
        <f t="shared" ref="M107" si="124">J107+M103</f>
        <v>1667</v>
      </c>
      <c r="N107" s="122"/>
      <c r="O107" s="122"/>
      <c r="P107" s="122">
        <f>M107+P103</f>
        <v>1862</v>
      </c>
      <c r="Q107" s="122"/>
      <c r="R107" s="122"/>
      <c r="S107" s="122">
        <f>P107+S103</f>
        <v>2018</v>
      </c>
      <c r="T107" s="122"/>
      <c r="U107" s="122"/>
      <c r="V107" s="122">
        <f>S107+V103</f>
        <v>2195</v>
      </c>
      <c r="W107" s="122"/>
      <c r="X107" s="122"/>
      <c r="Y107" s="122">
        <f>V107+Y103</f>
        <v>2371</v>
      </c>
      <c r="Z107" s="122"/>
      <c r="AA107" s="122"/>
      <c r="AB107" s="122">
        <f>Y107+AB103</f>
        <v>2506</v>
      </c>
      <c r="AC107" s="122"/>
      <c r="AD107" s="122"/>
      <c r="AE107" s="122">
        <f>AB107+AE103</f>
        <v>2587</v>
      </c>
      <c r="AF107" s="122"/>
      <c r="AG107" s="122"/>
      <c r="AH107" s="122">
        <f>AE107+AH103</f>
        <v>2661</v>
      </c>
      <c r="AI107" s="122"/>
      <c r="AJ107" s="122"/>
      <c r="AK107" s="122">
        <f t="shared" ref="AK107" si="125">AH107+AK103</f>
        <v>2721</v>
      </c>
      <c r="AL107" s="122"/>
      <c r="AM107" s="122"/>
      <c r="AN107" s="122"/>
      <c r="AO107" s="122"/>
      <c r="AP107" s="122"/>
    </row>
    <row r="108" spans="1:43" x14ac:dyDescent="0.2">
      <c r="A108" s="117" t="s">
        <v>103</v>
      </c>
      <c r="B108" s="117"/>
      <c r="C108" s="117"/>
      <c r="D108" s="117"/>
      <c r="E108" s="122">
        <f>E101</f>
        <v>6.9255637500000002</v>
      </c>
      <c r="F108" s="122"/>
      <c r="G108" s="122">
        <f>E108+G101</f>
        <v>11.78156375</v>
      </c>
      <c r="H108" s="122"/>
      <c r="I108" s="122"/>
      <c r="J108" s="122">
        <f>G108+J101</f>
        <v>16.442563749999998</v>
      </c>
      <c r="K108" s="122"/>
      <c r="L108" s="122"/>
      <c r="M108" s="122">
        <f>J108+M101</f>
        <v>23.357843749999997</v>
      </c>
      <c r="N108" s="122"/>
      <c r="O108" s="122"/>
      <c r="P108" s="122">
        <f>M108+P101</f>
        <v>29.473843749999997</v>
      </c>
      <c r="Q108" s="122"/>
      <c r="R108" s="122"/>
      <c r="S108" s="122">
        <f>P108+S101</f>
        <v>37.535643749999998</v>
      </c>
      <c r="T108" s="122"/>
      <c r="U108" s="122"/>
      <c r="V108" s="122">
        <f>S108+V101</f>
        <v>39.301643749999997</v>
      </c>
      <c r="W108" s="122"/>
      <c r="X108" s="122"/>
      <c r="Y108" s="122">
        <f>V108+Y101</f>
        <v>43.752643749999997</v>
      </c>
      <c r="Z108" s="122"/>
      <c r="AA108" s="122"/>
      <c r="AB108" s="122">
        <f>Y108+AB101</f>
        <v>45.823643749999995</v>
      </c>
      <c r="AC108" s="122"/>
      <c r="AD108" s="122"/>
      <c r="AE108" s="122">
        <f>AB108+AE101</f>
        <v>47.469643749999996</v>
      </c>
      <c r="AF108" s="122"/>
      <c r="AG108" s="122"/>
      <c r="AH108" s="122">
        <f>AE108+AH101</f>
        <v>49.920643749999996</v>
      </c>
      <c r="AI108" s="122"/>
      <c r="AJ108" s="122"/>
      <c r="AK108" s="122">
        <f t="shared" ref="AK108" si="126">AH108+AK101</f>
        <v>51.421643749999994</v>
      </c>
      <c r="AL108" s="122"/>
      <c r="AM108" s="122"/>
      <c r="AN108" s="122"/>
      <c r="AO108" s="122"/>
      <c r="AP108" s="122"/>
    </row>
    <row r="109" spans="1:43" x14ac:dyDescent="0.2">
      <c r="A109" s="117" t="s">
        <v>104</v>
      </c>
      <c r="B109" s="117"/>
      <c r="C109" s="117"/>
      <c r="D109" s="117"/>
      <c r="E109" s="49">
        <f>+E108/E107</f>
        <v>6.7632458496093752E-3</v>
      </c>
      <c r="F109" s="49"/>
      <c r="G109" s="49">
        <f t="shared" ref="G109:AK109" si="127">+G108/G107</f>
        <v>1.0165283649698015E-2</v>
      </c>
      <c r="H109" s="49"/>
      <c r="I109" s="49"/>
      <c r="J109" s="49">
        <f t="shared" si="127"/>
        <v>1.2706772604327664E-2</v>
      </c>
      <c r="K109" s="49"/>
      <c r="L109" s="49"/>
      <c r="M109" s="49">
        <f t="shared" si="127"/>
        <v>1.4011903869226154E-2</v>
      </c>
      <c r="N109" s="49"/>
      <c r="O109" s="49"/>
      <c r="P109" s="49">
        <f t="shared" si="127"/>
        <v>1.5829131981740064E-2</v>
      </c>
      <c r="Q109" s="49"/>
      <c r="R109" s="49"/>
      <c r="S109" s="49">
        <f t="shared" si="127"/>
        <v>1.8600418111992069E-2</v>
      </c>
      <c r="T109" s="49"/>
      <c r="U109" s="49"/>
      <c r="V109" s="49">
        <f t="shared" si="127"/>
        <v>1.7905076879271068E-2</v>
      </c>
      <c r="W109" s="49"/>
      <c r="X109" s="49"/>
      <c r="Y109" s="49">
        <f t="shared" si="127"/>
        <v>1.8453244938844367E-2</v>
      </c>
      <c r="Z109" s="49"/>
      <c r="AA109" s="49"/>
      <c r="AB109" s="49">
        <f t="shared" si="127"/>
        <v>1.8285572126895449E-2</v>
      </c>
      <c r="AC109" s="49"/>
      <c r="AD109" s="49"/>
      <c r="AE109" s="49">
        <f t="shared" si="127"/>
        <v>1.8349301797448783E-2</v>
      </c>
      <c r="AF109" s="49"/>
      <c r="AG109" s="49"/>
      <c r="AH109" s="49">
        <f t="shared" si="127"/>
        <v>1.8760106632844793E-2</v>
      </c>
      <c r="AI109" s="49"/>
      <c r="AJ109" s="49"/>
      <c r="AK109" s="49">
        <f t="shared" si="127"/>
        <v>1.8898068265343623E-2</v>
      </c>
      <c r="AL109" s="49"/>
      <c r="AM109" s="49"/>
      <c r="AN109" s="49"/>
      <c r="AO109" s="49"/>
      <c r="AP109" s="49"/>
    </row>
    <row r="110" spans="1:43" ht="39" hidden="1" customHeight="1" x14ac:dyDescent="0.2">
      <c r="A110" s="123" t="s">
        <v>105</v>
      </c>
      <c r="B110" s="123"/>
      <c r="C110" s="123"/>
      <c r="D110" s="123"/>
      <c r="E110" s="124">
        <f t="shared" ref="E110:S111" si="128">E107/10000000</f>
        <v>1.024E-4</v>
      </c>
      <c r="F110" s="124"/>
      <c r="G110" s="124">
        <f t="shared" si="128"/>
        <v>1.159E-4</v>
      </c>
      <c r="H110" s="124"/>
      <c r="I110" s="124"/>
      <c r="J110" s="124">
        <f t="shared" si="128"/>
        <v>1.294E-4</v>
      </c>
      <c r="K110" s="124"/>
      <c r="L110" s="124"/>
      <c r="M110" s="124">
        <f t="shared" si="128"/>
        <v>1.6670000000000001E-4</v>
      </c>
      <c r="N110" s="124"/>
      <c r="O110" s="124"/>
      <c r="P110" s="124">
        <f t="shared" si="128"/>
        <v>1.862E-4</v>
      </c>
      <c r="Q110" s="124"/>
      <c r="R110" s="124"/>
      <c r="S110" s="124">
        <f t="shared" si="128"/>
        <v>2.018E-4</v>
      </c>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row>
    <row r="111" spans="1:43" hidden="1" x14ac:dyDescent="0.2">
      <c r="A111" s="123" t="s">
        <v>105</v>
      </c>
      <c r="B111" s="123"/>
      <c r="C111" s="123"/>
      <c r="D111" s="123"/>
      <c r="E111" s="124">
        <f>E108/10000000</f>
        <v>6.9255637499999998E-7</v>
      </c>
      <c r="F111" s="124"/>
      <c r="G111" s="124">
        <f t="shared" si="128"/>
        <v>1.178156375E-6</v>
      </c>
      <c r="H111" s="124"/>
      <c r="I111" s="124"/>
      <c r="J111" s="124">
        <f t="shared" si="128"/>
        <v>1.6442563749999997E-6</v>
      </c>
      <c r="K111" s="124"/>
      <c r="L111" s="124"/>
      <c r="M111" s="124">
        <f t="shared" si="128"/>
        <v>2.3357843749999999E-6</v>
      </c>
      <c r="N111" s="124"/>
      <c r="O111" s="124"/>
      <c r="P111" s="124">
        <f t="shared" si="128"/>
        <v>2.9473843749999997E-6</v>
      </c>
      <c r="Q111" s="124"/>
      <c r="R111" s="124"/>
      <c r="S111" s="124">
        <f t="shared" si="128"/>
        <v>3.753564375E-6</v>
      </c>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row>
    <row r="112" spans="1:43" hidden="1" x14ac:dyDescent="0.2"/>
    <row r="114" spans="1:42" x14ac:dyDescent="0.2">
      <c r="A114" s="177"/>
      <c r="B114" s="177"/>
      <c r="C114" s="177"/>
      <c r="D114" s="177"/>
      <c r="E114" s="177"/>
      <c r="F114" s="177"/>
      <c r="G114" s="177"/>
      <c r="H114" s="177"/>
      <c r="I114" s="177"/>
      <c r="J114" s="177"/>
      <c r="K114" s="177"/>
      <c r="L114" s="177"/>
      <c r="M114" s="177"/>
      <c r="N114" s="177"/>
      <c r="O114" s="177"/>
      <c r="P114" s="177"/>
      <c r="Q114" s="177"/>
      <c r="R114" s="177"/>
      <c r="S114" s="177"/>
      <c r="T114" s="128"/>
      <c r="U114" s="128"/>
      <c r="V114" s="128"/>
      <c r="W114" s="128"/>
      <c r="X114" s="128"/>
      <c r="Y114" s="128"/>
      <c r="Z114" s="128"/>
      <c r="AA114" s="128"/>
      <c r="AB114" s="128"/>
      <c r="AC114" s="128"/>
      <c r="AD114" s="128"/>
      <c r="AE114" s="128"/>
      <c r="AF114" s="128"/>
      <c r="AG114" s="128"/>
      <c r="AH114" s="128"/>
      <c r="AI114" s="128"/>
      <c r="AJ114" s="128"/>
      <c r="AK114" s="128"/>
      <c r="AL114" s="128"/>
      <c r="AM114" s="128"/>
      <c r="AN114" s="128"/>
      <c r="AO114" s="128"/>
      <c r="AP114" s="128"/>
    </row>
    <row r="115" spans="1:42" x14ac:dyDescent="0.2">
      <c r="A115" s="177" t="s">
        <v>117</v>
      </c>
      <c r="B115" s="177"/>
      <c r="C115" s="177"/>
      <c r="D115" s="177"/>
      <c r="E115" s="177"/>
      <c r="F115" s="177"/>
      <c r="G115" s="177"/>
      <c r="H115" s="177"/>
      <c r="I115" s="177"/>
      <c r="J115" s="177"/>
      <c r="K115" s="177"/>
      <c r="L115" s="177"/>
      <c r="M115" s="177"/>
      <c r="N115" s="128"/>
      <c r="O115" s="128"/>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AP115" s="129"/>
    </row>
    <row r="116" spans="1:42" x14ac:dyDescent="0.2">
      <c r="A116" s="177" t="s">
        <v>118</v>
      </c>
      <c r="B116" s="177"/>
      <c r="C116" s="177"/>
      <c r="D116" s="177"/>
      <c r="E116" s="177"/>
      <c r="F116" s="177"/>
      <c r="G116" s="177"/>
      <c r="H116" s="177"/>
      <c r="I116" s="177"/>
      <c r="J116" s="177"/>
      <c r="K116" s="177"/>
      <c r="L116" s="177"/>
      <c r="M116" s="177"/>
      <c r="N116" s="128"/>
      <c r="O116" s="128"/>
    </row>
  </sheetData>
  <mergeCells count="3">
    <mergeCell ref="A114:S114"/>
    <mergeCell ref="A115:M115"/>
    <mergeCell ref="A116:M116"/>
  </mergeCells>
  <conditionalFormatting sqref="E3:AP4 E5:Q7 S5:AP7 E8:AP8 E9:Q14 S9:AP14 E15:AP15 E16:Q16 S16:AP16 E17:AP17 E18:Q26 S18:AP26 E27:AP27 E28:Q33 S28:AP33 E34:AP34 E35:Q38 S35:AP38 E39:AP39 E40:Q40 S40:AP40 E41:AP41 E42:Q42 S42:AP42 E43:AP43 E44:Q49 S44:AP49 E50:AP50 E51:Q54 S51:AP54 E55:AP55 E56:Q67 S56:AP67 E68:AP68 E69:Q85 S69:AP85 E86:AP86 E87:Q87 S87:AP87 E88:AP88 E89:Q90 S89:AP90 E91:AP91 E92:Q98 S92:AP98 E99:AP99">
    <cfRule type="cellIs" dxfId="0" priority="1" operator="lessThan">
      <formula>0</formula>
    </cfRule>
  </conditionalFormatting>
  <pageMargins left="0.25" right="0.25" top="0.75" bottom="0.75" header="0.3" footer="0.3"/>
  <pageSetup paperSize="9" fitToWidth="0" orientation="portrait" verticalDpi="0" r:id="rId1"/>
  <ignoredErrors>
    <ignoredError sqref="H8:AP8 H15:AP15 H9:H14 J9:K14 H17:AP17 H16 J16:K16 H27:AP27 H18:H26 J18:K26 H34:AP34 H28:H33 J28:K33 H39:AP39 H35:H38 J35:K38 H41:AP41 H40 J40:K40 H43:AP43 H42 J42:K42 H50:AP50 H44:H49 J44:K49 H55:AP55 H51:H54 J51:K54 H68:AP68 H56:H67 J56:K67 H86:AP86 H69:H85 J69:K85 H88:AP88 H87 J87:K87 H91:AP91 H89:H90 J89:K90 H99:AP99 H92:H98 J92:K98 M9:N14 M16:N16 M18:N26 M28:N33 M35:N38 M40:N40 M42:N42 M44:N49 M51:N54 M56:N67 M69:N85 M87:N87 M89:N90 M92:N98 P10:Q14 P16:Q16 P26:Q26 P28:Q33 P35:Q38 P40:Q40 P42:Q42 P44:Q49 P51:Q54 P56:Q67 P69:Q85 P87:Q87 P89:Q90 P92:Q98 P9:Q9 S9:AP9 S10:AP14 S16:AP16 P18:Q18 S18:AP18 P19:Q25 S19:AP25 S26:AP26 S28:AP33 S35:AP38 S40:AP40 S42:AP42 S44:AP49 S51:AP54 S56:AP67 S69:AP85 S87:AP87 S89:AP90 S92:AP9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83BD3-88A1-2A44-8215-B06B53F55834}">
  <dimension ref="A1:L99"/>
  <sheetViews>
    <sheetView topLeftCell="A4" zoomScale="90" zoomScaleNormal="125" workbookViewId="0">
      <selection activeCell="A36" sqref="A36:XFD36"/>
    </sheetView>
  </sheetViews>
  <sheetFormatPr baseColWidth="10" defaultColWidth="8.83203125" defaultRowHeight="16" x14ac:dyDescent="0.2"/>
  <cols>
    <col min="1" max="1" width="68.1640625" style="4" customWidth="1"/>
    <col min="2" max="2" width="24.6640625" style="4" hidden="1" customWidth="1"/>
    <col min="3" max="3" width="23.1640625" style="4" hidden="1" customWidth="1"/>
    <col min="4" max="4" width="21" style="4" hidden="1" customWidth="1"/>
    <col min="5" max="6" width="16.5" style="5" customWidth="1"/>
    <col min="7" max="11" width="16.5" customWidth="1"/>
    <col min="12" max="12" width="13.1640625" customWidth="1"/>
  </cols>
  <sheetData>
    <row r="1" spans="1:11" ht="23" thickBot="1" x14ac:dyDescent="0.25">
      <c r="A1" s="155" t="s">
        <v>106</v>
      </c>
      <c r="B1" s="156"/>
      <c r="C1" s="156"/>
      <c r="D1" s="156"/>
      <c r="E1" s="156"/>
      <c r="F1" s="156"/>
      <c r="G1" s="156"/>
      <c r="H1" s="156"/>
      <c r="I1" s="156"/>
      <c r="J1" s="156"/>
      <c r="K1" s="156"/>
    </row>
    <row r="2" spans="1:11" s="4" customFormat="1" ht="32" x14ac:dyDescent="0.2">
      <c r="A2" s="26" t="s">
        <v>0</v>
      </c>
      <c r="B2" s="6"/>
      <c r="C2" s="6"/>
      <c r="D2" s="6"/>
      <c r="E2" s="7" t="s">
        <v>107</v>
      </c>
      <c r="F2" s="36" t="s">
        <v>109</v>
      </c>
      <c r="G2" s="36" t="s">
        <v>110</v>
      </c>
      <c r="H2" s="36" t="s">
        <v>111</v>
      </c>
      <c r="I2" s="36" t="s">
        <v>112</v>
      </c>
      <c r="J2" s="130" t="s">
        <v>113</v>
      </c>
      <c r="K2" s="143" t="s">
        <v>116</v>
      </c>
    </row>
    <row r="3" spans="1:11" x14ac:dyDescent="0.2">
      <c r="A3" s="27"/>
      <c r="B3" s="8"/>
      <c r="C3" s="8"/>
      <c r="D3" s="8"/>
      <c r="E3" s="9"/>
      <c r="F3" s="9"/>
      <c r="G3" s="9"/>
      <c r="H3" s="9"/>
      <c r="I3" s="9"/>
      <c r="J3" s="131"/>
      <c r="K3" s="144"/>
    </row>
    <row r="4" spans="1:11" x14ac:dyDescent="0.2">
      <c r="A4" s="28" t="s">
        <v>2</v>
      </c>
      <c r="B4" s="10">
        <v>725167</v>
      </c>
      <c r="C4" s="10">
        <v>31.1</v>
      </c>
      <c r="D4" s="10">
        <v>11</v>
      </c>
      <c r="E4" s="10">
        <f>SUM(E5:E7)</f>
        <v>861400</v>
      </c>
      <c r="F4" s="10">
        <f t="shared" ref="F4:J4" si="0">SUM(F5:F7)</f>
        <v>0</v>
      </c>
      <c r="G4" s="10">
        <f t="shared" si="0"/>
        <v>0</v>
      </c>
      <c r="H4" s="10">
        <f t="shared" si="0"/>
        <v>0</v>
      </c>
      <c r="I4" s="10">
        <f t="shared" si="0"/>
        <v>0</v>
      </c>
      <c r="J4" s="132">
        <f t="shared" si="0"/>
        <v>0</v>
      </c>
      <c r="K4" s="145">
        <f t="shared" ref="K4:K66" si="1">SUM(E4:J4)</f>
        <v>861400</v>
      </c>
    </row>
    <row r="5" spans="1:11" x14ac:dyDescent="0.2">
      <c r="A5" s="27" t="s">
        <v>3</v>
      </c>
      <c r="B5" s="11"/>
      <c r="C5" s="11"/>
      <c r="D5" s="11"/>
      <c r="E5" s="12">
        <v>590000</v>
      </c>
      <c r="F5" s="12"/>
      <c r="G5" s="12"/>
      <c r="H5" s="12"/>
      <c r="I5" s="12"/>
      <c r="J5" s="133"/>
      <c r="K5" s="146">
        <f t="shared" si="1"/>
        <v>590000</v>
      </c>
    </row>
    <row r="6" spans="1:11" x14ac:dyDescent="0.2">
      <c r="A6" s="27" t="s">
        <v>4</v>
      </c>
      <c r="B6" s="11"/>
      <c r="C6" s="11"/>
      <c r="D6" s="11"/>
      <c r="E6" s="12">
        <v>236000</v>
      </c>
      <c r="F6" s="12"/>
      <c r="G6" s="12"/>
      <c r="H6" s="12"/>
      <c r="I6" s="12"/>
      <c r="J6" s="133"/>
      <c r="K6" s="146">
        <f t="shared" si="1"/>
        <v>236000</v>
      </c>
    </row>
    <row r="7" spans="1:11" x14ac:dyDescent="0.2">
      <c r="A7" s="27" t="s">
        <v>5</v>
      </c>
      <c r="B7" s="11"/>
      <c r="C7" s="11"/>
      <c r="D7" s="11"/>
      <c r="E7" s="13">
        <v>35400</v>
      </c>
      <c r="F7" s="13"/>
      <c r="G7" s="13"/>
      <c r="H7" s="13"/>
      <c r="I7" s="13"/>
      <c r="J7" s="134"/>
      <c r="K7" s="146">
        <f t="shared" si="1"/>
        <v>35400</v>
      </c>
    </row>
    <row r="8" spans="1:11" x14ac:dyDescent="0.2">
      <c r="A8" s="28" t="s">
        <v>6</v>
      </c>
      <c r="B8" s="10"/>
      <c r="C8" s="10"/>
      <c r="D8" s="10">
        <v>9</v>
      </c>
      <c r="E8" s="10">
        <f>SUM(E9:E14)</f>
        <v>0</v>
      </c>
      <c r="F8" s="10">
        <f t="shared" ref="F8:J8" si="2">SUM(F9:F14)</f>
        <v>0</v>
      </c>
      <c r="G8" s="10">
        <f t="shared" si="2"/>
        <v>0</v>
      </c>
      <c r="H8" s="10">
        <f t="shared" si="2"/>
        <v>0</v>
      </c>
      <c r="I8" s="10">
        <f t="shared" si="2"/>
        <v>0</v>
      </c>
      <c r="J8" s="132">
        <f t="shared" si="2"/>
        <v>0</v>
      </c>
      <c r="K8" s="145">
        <f t="shared" si="1"/>
        <v>0</v>
      </c>
    </row>
    <row r="9" spans="1:11" x14ac:dyDescent="0.2">
      <c r="A9" s="27" t="s">
        <v>7</v>
      </c>
      <c r="B9" s="11"/>
      <c r="C9" s="11"/>
      <c r="D9" s="11"/>
      <c r="E9" s="13"/>
      <c r="F9" s="13"/>
      <c r="G9" s="13"/>
      <c r="H9" s="13"/>
      <c r="I9" s="13"/>
      <c r="J9" s="134"/>
      <c r="K9" s="146">
        <f t="shared" si="1"/>
        <v>0</v>
      </c>
    </row>
    <row r="10" spans="1:11" x14ac:dyDescent="0.2">
      <c r="A10" s="27" t="s">
        <v>8</v>
      </c>
      <c r="B10" s="11"/>
      <c r="C10" s="11"/>
      <c r="D10" s="11"/>
      <c r="E10" s="13"/>
      <c r="F10" s="13"/>
      <c r="G10" s="13"/>
      <c r="H10" s="13"/>
      <c r="I10" s="13"/>
      <c r="J10" s="134"/>
      <c r="K10" s="146">
        <f t="shared" si="1"/>
        <v>0</v>
      </c>
    </row>
    <row r="11" spans="1:11" x14ac:dyDescent="0.2">
      <c r="A11" s="27" t="s">
        <v>9</v>
      </c>
      <c r="B11" s="11"/>
      <c r="C11" s="11"/>
      <c r="D11" s="11"/>
      <c r="E11" s="13"/>
      <c r="F11" s="13"/>
      <c r="G11" s="13"/>
      <c r="H11" s="13"/>
      <c r="I11" s="13"/>
      <c r="J11" s="134"/>
      <c r="K11" s="146">
        <f t="shared" si="1"/>
        <v>0</v>
      </c>
    </row>
    <row r="12" spans="1:11" x14ac:dyDescent="0.2">
      <c r="A12" s="27" t="s">
        <v>10</v>
      </c>
      <c r="B12" s="11"/>
      <c r="C12" s="11"/>
      <c r="D12" s="11"/>
      <c r="E12" s="13"/>
      <c r="F12" s="13"/>
      <c r="G12" s="13"/>
      <c r="H12" s="13"/>
      <c r="I12" s="13"/>
      <c r="J12" s="134"/>
      <c r="K12" s="146">
        <f t="shared" si="1"/>
        <v>0</v>
      </c>
    </row>
    <row r="13" spans="1:11" x14ac:dyDescent="0.2">
      <c r="A13" s="27" t="s">
        <v>11</v>
      </c>
      <c r="B13" s="11"/>
      <c r="C13" s="11"/>
      <c r="D13" s="11"/>
      <c r="E13" s="13"/>
      <c r="F13" s="13"/>
      <c r="G13" s="13"/>
      <c r="H13" s="13"/>
      <c r="I13" s="13"/>
      <c r="J13" s="134"/>
      <c r="K13" s="146">
        <f t="shared" si="1"/>
        <v>0</v>
      </c>
    </row>
    <row r="14" spans="1:11" x14ac:dyDescent="0.2">
      <c r="A14" s="27" t="s">
        <v>12</v>
      </c>
      <c r="B14" s="11"/>
      <c r="C14" s="11"/>
      <c r="D14" s="11"/>
      <c r="E14" s="13"/>
      <c r="F14" s="13"/>
      <c r="G14" s="13"/>
      <c r="H14" s="13"/>
      <c r="I14" s="13"/>
      <c r="J14" s="134"/>
      <c r="K14" s="146">
        <f t="shared" si="1"/>
        <v>0</v>
      </c>
    </row>
    <row r="15" spans="1:11" x14ac:dyDescent="0.2">
      <c r="A15" s="28" t="s">
        <v>13</v>
      </c>
      <c r="B15" s="10">
        <v>724989</v>
      </c>
      <c r="C15" s="10">
        <v>29.55</v>
      </c>
      <c r="D15" s="10">
        <v>16</v>
      </c>
      <c r="E15" s="10">
        <f>SUM(E16)</f>
        <v>0</v>
      </c>
      <c r="F15" s="10">
        <f t="shared" ref="F15:J15" si="3">SUM(F16)</f>
        <v>0</v>
      </c>
      <c r="G15" s="10">
        <f t="shared" si="3"/>
        <v>0</v>
      </c>
      <c r="H15" s="10">
        <f t="shared" si="3"/>
        <v>0</v>
      </c>
      <c r="I15" s="10">
        <f t="shared" si="3"/>
        <v>0</v>
      </c>
      <c r="J15" s="132">
        <f t="shared" si="3"/>
        <v>0</v>
      </c>
      <c r="K15" s="145">
        <f t="shared" si="1"/>
        <v>0</v>
      </c>
    </row>
    <row r="16" spans="1:11" x14ac:dyDescent="0.2">
      <c r="A16" s="27" t="s">
        <v>14</v>
      </c>
      <c r="B16" s="11"/>
      <c r="C16" s="11"/>
      <c r="D16" s="11"/>
      <c r="E16" s="14"/>
      <c r="F16" s="14"/>
      <c r="G16" s="14"/>
      <c r="H16" s="14"/>
      <c r="I16" s="14"/>
      <c r="J16" s="135"/>
      <c r="K16" s="147">
        <f t="shared" si="1"/>
        <v>0</v>
      </c>
    </row>
    <row r="17" spans="1:11" x14ac:dyDescent="0.2">
      <c r="A17" s="28" t="s">
        <v>15</v>
      </c>
      <c r="B17" s="10"/>
      <c r="C17" s="10">
        <v>0</v>
      </c>
      <c r="D17" s="10">
        <v>16</v>
      </c>
      <c r="E17" s="10">
        <f>SUM(E18:E26)</f>
        <v>0</v>
      </c>
      <c r="F17" s="10">
        <f t="shared" ref="F17:J17" si="4">SUM(F18:F26)</f>
        <v>0</v>
      </c>
      <c r="G17" s="10">
        <f t="shared" si="4"/>
        <v>0</v>
      </c>
      <c r="H17" s="10">
        <f t="shared" si="4"/>
        <v>0</v>
      </c>
      <c r="I17" s="10">
        <f t="shared" si="4"/>
        <v>0</v>
      </c>
      <c r="J17" s="132">
        <f t="shared" si="4"/>
        <v>0</v>
      </c>
      <c r="K17" s="145">
        <f t="shared" si="1"/>
        <v>0</v>
      </c>
    </row>
    <row r="18" spans="1:11" x14ac:dyDescent="0.2">
      <c r="A18" s="27" t="s">
        <v>16</v>
      </c>
      <c r="B18" s="11"/>
      <c r="C18" s="11"/>
      <c r="D18" s="11"/>
      <c r="E18" s="14"/>
      <c r="F18" s="14"/>
      <c r="G18" s="14"/>
      <c r="H18" s="14"/>
      <c r="I18" s="14"/>
      <c r="J18" s="135"/>
      <c r="K18" s="147">
        <f t="shared" si="1"/>
        <v>0</v>
      </c>
    </row>
    <row r="19" spans="1:11" x14ac:dyDescent="0.2">
      <c r="A19" s="27" t="s">
        <v>17</v>
      </c>
      <c r="B19" s="11"/>
      <c r="C19" s="11"/>
      <c r="D19" s="11"/>
      <c r="E19" s="14"/>
      <c r="F19" s="14"/>
      <c r="G19" s="14"/>
      <c r="H19" s="14"/>
      <c r="I19" s="14"/>
      <c r="J19" s="135"/>
      <c r="K19" s="147">
        <f t="shared" si="1"/>
        <v>0</v>
      </c>
    </row>
    <row r="20" spans="1:11" x14ac:dyDescent="0.2">
      <c r="A20" s="27" t="s">
        <v>18</v>
      </c>
      <c r="B20" s="11"/>
      <c r="C20" s="11"/>
      <c r="D20" s="11"/>
      <c r="E20" s="14"/>
      <c r="F20" s="14"/>
      <c r="G20" s="14"/>
      <c r="H20" s="14"/>
      <c r="I20" s="14"/>
      <c r="J20" s="135"/>
      <c r="K20" s="147">
        <f t="shared" si="1"/>
        <v>0</v>
      </c>
    </row>
    <row r="21" spans="1:11" x14ac:dyDescent="0.2">
      <c r="A21" s="27" t="s">
        <v>19</v>
      </c>
      <c r="B21" s="11"/>
      <c r="C21" s="11"/>
      <c r="D21" s="11"/>
      <c r="E21" s="14"/>
      <c r="F21" s="14"/>
      <c r="G21" s="14"/>
      <c r="H21" s="14"/>
      <c r="I21" s="14"/>
      <c r="J21" s="135"/>
      <c r="K21" s="147">
        <f t="shared" si="1"/>
        <v>0</v>
      </c>
    </row>
    <row r="22" spans="1:11" x14ac:dyDescent="0.2">
      <c r="A22" s="29" t="s">
        <v>20</v>
      </c>
      <c r="B22" s="11"/>
      <c r="C22" s="11"/>
      <c r="D22" s="11"/>
      <c r="E22" s="14"/>
      <c r="F22" s="14"/>
      <c r="G22" s="14"/>
      <c r="H22" s="14"/>
      <c r="I22" s="14"/>
      <c r="J22" s="135"/>
      <c r="K22" s="147">
        <f t="shared" si="1"/>
        <v>0</v>
      </c>
    </row>
    <row r="23" spans="1:11" x14ac:dyDescent="0.2">
      <c r="A23" s="29" t="s">
        <v>21</v>
      </c>
      <c r="B23" s="11"/>
      <c r="C23" s="11"/>
      <c r="D23" s="11"/>
      <c r="E23" s="14"/>
      <c r="F23" s="14"/>
      <c r="G23" s="14"/>
      <c r="H23" s="14"/>
      <c r="I23" s="14"/>
      <c r="J23" s="135"/>
      <c r="K23" s="147">
        <f t="shared" si="1"/>
        <v>0</v>
      </c>
    </row>
    <row r="24" spans="1:11" x14ac:dyDescent="0.2">
      <c r="A24" s="29" t="s">
        <v>22</v>
      </c>
      <c r="B24" s="11"/>
      <c r="C24" s="11"/>
      <c r="D24" s="11"/>
      <c r="E24" s="14"/>
      <c r="F24" s="14"/>
      <c r="G24" s="14"/>
      <c r="H24" s="14"/>
      <c r="I24" s="14"/>
      <c r="J24" s="135"/>
      <c r="K24" s="147">
        <f t="shared" si="1"/>
        <v>0</v>
      </c>
    </row>
    <row r="25" spans="1:11" x14ac:dyDescent="0.2">
      <c r="A25" s="29" t="s">
        <v>23</v>
      </c>
      <c r="B25" s="11"/>
      <c r="C25" s="11"/>
      <c r="D25" s="11"/>
      <c r="E25" s="14"/>
      <c r="F25" s="14"/>
      <c r="G25" s="14"/>
      <c r="H25" s="14"/>
      <c r="I25" s="14"/>
      <c r="J25" s="135"/>
      <c r="K25" s="147">
        <f t="shared" si="1"/>
        <v>0</v>
      </c>
    </row>
    <row r="26" spans="1:11" x14ac:dyDescent="0.2">
      <c r="A26" s="27" t="s">
        <v>24</v>
      </c>
      <c r="B26" s="11"/>
      <c r="C26" s="11"/>
      <c r="D26" s="11"/>
      <c r="E26" s="14"/>
      <c r="F26" s="14"/>
      <c r="G26" s="14"/>
      <c r="H26" s="14"/>
      <c r="I26" s="14"/>
      <c r="J26" s="135"/>
      <c r="K26" s="147">
        <f t="shared" si="1"/>
        <v>0</v>
      </c>
    </row>
    <row r="27" spans="1:11" x14ac:dyDescent="0.2">
      <c r="A27" s="28" t="s">
        <v>25</v>
      </c>
      <c r="B27" s="10">
        <v>24017</v>
      </c>
      <c r="C27" s="10">
        <v>0.9</v>
      </c>
      <c r="D27" s="10">
        <v>1</v>
      </c>
      <c r="E27" s="10">
        <f>SUM(E28:E33)</f>
        <v>0</v>
      </c>
      <c r="F27" s="10">
        <f t="shared" ref="F27:J27" si="5">SUM(F28:F33)</f>
        <v>0</v>
      </c>
      <c r="G27" s="10">
        <f t="shared" si="5"/>
        <v>0</v>
      </c>
      <c r="H27" s="10">
        <f t="shared" si="5"/>
        <v>0</v>
      </c>
      <c r="I27" s="10">
        <f t="shared" si="5"/>
        <v>0</v>
      </c>
      <c r="J27" s="132">
        <f t="shared" si="5"/>
        <v>0</v>
      </c>
      <c r="K27" s="145">
        <f t="shared" si="1"/>
        <v>0</v>
      </c>
    </row>
    <row r="28" spans="1:11" x14ac:dyDescent="0.2">
      <c r="A28" s="27" t="s">
        <v>26</v>
      </c>
      <c r="B28" s="11"/>
      <c r="C28" s="11"/>
      <c r="D28" s="11"/>
      <c r="E28" s="15"/>
      <c r="F28" s="16"/>
      <c r="G28" s="15"/>
      <c r="H28" s="17"/>
      <c r="I28" s="18"/>
      <c r="J28" s="136"/>
      <c r="K28" s="148">
        <f t="shared" si="1"/>
        <v>0</v>
      </c>
    </row>
    <row r="29" spans="1:11" x14ac:dyDescent="0.2">
      <c r="A29" s="27" t="s">
        <v>27</v>
      </c>
      <c r="B29" s="11"/>
      <c r="C29" s="11"/>
      <c r="D29" s="11"/>
      <c r="E29" s="16"/>
      <c r="F29" s="16"/>
      <c r="G29" s="15"/>
      <c r="H29" s="16"/>
      <c r="I29" s="19"/>
      <c r="J29" s="136"/>
      <c r="K29" s="148">
        <f t="shared" si="1"/>
        <v>0</v>
      </c>
    </row>
    <row r="30" spans="1:11" x14ac:dyDescent="0.2">
      <c r="A30" s="27" t="s">
        <v>28</v>
      </c>
      <c r="B30" s="11"/>
      <c r="C30" s="11"/>
      <c r="D30" s="11"/>
      <c r="E30" s="16"/>
      <c r="F30" s="16"/>
      <c r="G30" s="15"/>
      <c r="H30" s="16"/>
      <c r="I30" s="19"/>
      <c r="J30" s="136"/>
      <c r="K30" s="148">
        <f t="shared" si="1"/>
        <v>0</v>
      </c>
    </row>
    <row r="31" spans="1:11" x14ac:dyDescent="0.2">
      <c r="A31" s="27" t="s">
        <v>29</v>
      </c>
      <c r="B31" s="11"/>
      <c r="C31" s="11"/>
      <c r="D31" s="11"/>
      <c r="E31" s="16"/>
      <c r="F31" s="16"/>
      <c r="G31" s="15"/>
      <c r="H31" s="17"/>
      <c r="I31" s="18"/>
      <c r="J31" s="136"/>
      <c r="K31" s="148">
        <f t="shared" si="1"/>
        <v>0</v>
      </c>
    </row>
    <row r="32" spans="1:11" x14ac:dyDescent="0.2">
      <c r="A32" s="30" t="s">
        <v>30</v>
      </c>
      <c r="B32" s="11"/>
      <c r="C32" s="11"/>
      <c r="D32" s="11"/>
      <c r="E32" s="16"/>
      <c r="F32" s="16"/>
      <c r="G32" s="15"/>
      <c r="H32" s="18"/>
      <c r="I32" s="19"/>
      <c r="J32" s="136"/>
      <c r="K32" s="148">
        <f t="shared" si="1"/>
        <v>0</v>
      </c>
    </row>
    <row r="33" spans="1:12" x14ac:dyDescent="0.2">
      <c r="A33" s="27" t="s">
        <v>31</v>
      </c>
      <c r="B33" s="11"/>
      <c r="C33" s="11"/>
      <c r="D33" s="11"/>
      <c r="E33" s="16"/>
      <c r="F33" s="16"/>
      <c r="G33" s="15"/>
      <c r="H33" s="17"/>
      <c r="I33" s="18"/>
      <c r="J33" s="136"/>
      <c r="K33" s="148">
        <f t="shared" si="1"/>
        <v>0</v>
      </c>
    </row>
    <row r="34" spans="1:12" x14ac:dyDescent="0.2">
      <c r="A34" s="28" t="s">
        <v>32</v>
      </c>
      <c r="B34" s="10"/>
      <c r="C34" s="10">
        <v>0</v>
      </c>
      <c r="D34" s="10">
        <v>14</v>
      </c>
      <c r="E34" s="10">
        <f>SUM(E35:E38)</f>
        <v>0</v>
      </c>
      <c r="F34" s="10">
        <f t="shared" ref="F34:J34" si="6">SUM(F35:F38)</f>
        <v>0</v>
      </c>
      <c r="G34" s="10">
        <f t="shared" si="6"/>
        <v>0</v>
      </c>
      <c r="H34" s="10">
        <f t="shared" si="6"/>
        <v>0</v>
      </c>
      <c r="I34" s="10">
        <f t="shared" si="6"/>
        <v>0</v>
      </c>
      <c r="J34" s="132">
        <f t="shared" si="6"/>
        <v>0</v>
      </c>
      <c r="K34" s="145">
        <f t="shared" si="1"/>
        <v>0</v>
      </c>
    </row>
    <row r="35" spans="1:12" x14ac:dyDescent="0.2">
      <c r="A35" s="27" t="s">
        <v>33</v>
      </c>
      <c r="B35" s="11"/>
      <c r="C35" s="11"/>
      <c r="D35" s="11"/>
      <c r="E35" s="16"/>
      <c r="F35" s="16"/>
      <c r="G35" s="15"/>
      <c r="H35" s="20"/>
      <c r="I35" s="18"/>
      <c r="J35" s="137"/>
      <c r="K35" s="149">
        <f t="shared" si="1"/>
        <v>0</v>
      </c>
    </row>
    <row r="36" spans="1:12" x14ac:dyDescent="0.2">
      <c r="A36" s="27" t="s">
        <v>34</v>
      </c>
      <c r="B36" s="11"/>
      <c r="C36" s="11"/>
      <c r="D36" s="11"/>
      <c r="E36" s="19"/>
      <c r="F36" s="19"/>
      <c r="G36" s="19"/>
      <c r="H36" s="19"/>
      <c r="I36" s="19"/>
      <c r="J36" s="136"/>
      <c r="K36" s="148">
        <f t="shared" si="1"/>
        <v>0</v>
      </c>
    </row>
    <row r="37" spans="1:12" x14ac:dyDescent="0.2">
      <c r="A37" s="27" t="s">
        <v>35</v>
      </c>
      <c r="B37" s="11"/>
      <c r="C37" s="11"/>
      <c r="D37" s="11"/>
      <c r="E37" s="19"/>
      <c r="F37" s="19"/>
      <c r="G37" s="19"/>
      <c r="H37" s="19"/>
      <c r="I37" s="19"/>
      <c r="J37" s="136"/>
      <c r="K37" s="148">
        <f t="shared" si="1"/>
        <v>0</v>
      </c>
    </row>
    <row r="38" spans="1:12" x14ac:dyDescent="0.2">
      <c r="A38" s="27" t="s">
        <v>36</v>
      </c>
      <c r="B38" s="11"/>
      <c r="C38" s="11"/>
      <c r="D38" s="11"/>
      <c r="E38" s="19"/>
      <c r="F38" s="16"/>
      <c r="G38" s="16"/>
      <c r="H38" s="16"/>
      <c r="I38" s="16"/>
      <c r="J38" s="138"/>
      <c r="K38" s="150">
        <f t="shared" si="1"/>
        <v>0</v>
      </c>
    </row>
    <row r="39" spans="1:12" x14ac:dyDescent="0.2">
      <c r="A39" s="28" t="s">
        <v>37</v>
      </c>
      <c r="B39" s="10"/>
      <c r="C39" s="10">
        <v>0</v>
      </c>
      <c r="D39" s="10"/>
      <c r="E39" s="10">
        <f>SUM(E40)</f>
        <v>0</v>
      </c>
      <c r="F39" s="10">
        <f t="shared" ref="F39" si="7">SUM(F40)</f>
        <v>0</v>
      </c>
      <c r="G39" s="10">
        <f t="shared" ref="G39" si="8">SUM(G40)</f>
        <v>0</v>
      </c>
      <c r="H39" s="10">
        <f t="shared" ref="H39" si="9">SUM(H40)</f>
        <v>0</v>
      </c>
      <c r="I39" s="10">
        <f t="shared" ref="I39" si="10">SUM(I40)</f>
        <v>0</v>
      </c>
      <c r="J39" s="132">
        <f t="shared" ref="J39" si="11">SUM(J40)</f>
        <v>0</v>
      </c>
      <c r="K39" s="145">
        <f t="shared" si="1"/>
        <v>0</v>
      </c>
    </row>
    <row r="40" spans="1:12" x14ac:dyDescent="0.2">
      <c r="A40" s="27" t="s">
        <v>38</v>
      </c>
      <c r="B40" s="11"/>
      <c r="C40" s="11"/>
      <c r="D40" s="11"/>
      <c r="E40" s="16"/>
      <c r="F40" s="16"/>
      <c r="G40" s="15"/>
      <c r="H40" s="20"/>
      <c r="I40" s="20"/>
      <c r="J40" s="139"/>
      <c r="K40" s="151">
        <f t="shared" si="1"/>
        <v>0</v>
      </c>
    </row>
    <row r="41" spans="1:12" x14ac:dyDescent="0.2">
      <c r="A41" s="28" t="s">
        <v>39</v>
      </c>
      <c r="B41" s="10"/>
      <c r="C41" s="10"/>
      <c r="D41" s="10"/>
      <c r="E41" s="10">
        <f>SUM(E42)</f>
        <v>0</v>
      </c>
      <c r="F41" s="10">
        <f t="shared" ref="F41" si="12">SUM(F42)</f>
        <v>0</v>
      </c>
      <c r="G41" s="10">
        <f t="shared" ref="G41" si="13">SUM(G42)</f>
        <v>0</v>
      </c>
      <c r="H41" s="10">
        <f t="shared" ref="H41" si="14">SUM(H42)</f>
        <v>0</v>
      </c>
      <c r="I41" s="10">
        <f t="shared" ref="I41" si="15">SUM(I42)</f>
        <v>0</v>
      </c>
      <c r="J41" s="132">
        <f t="shared" ref="J41" si="16">SUM(J42)</f>
        <v>0</v>
      </c>
      <c r="K41" s="145">
        <f t="shared" si="1"/>
        <v>0</v>
      </c>
    </row>
    <row r="42" spans="1:12" x14ac:dyDescent="0.2">
      <c r="A42" s="27" t="s">
        <v>40</v>
      </c>
      <c r="B42" s="11"/>
      <c r="C42" s="11"/>
      <c r="D42" s="11"/>
      <c r="E42" s="16"/>
      <c r="F42" s="16"/>
      <c r="G42" s="15"/>
      <c r="H42" s="18"/>
      <c r="I42" s="20"/>
      <c r="J42" s="139"/>
      <c r="K42" s="151">
        <f t="shared" si="1"/>
        <v>0</v>
      </c>
    </row>
    <row r="43" spans="1:12" x14ac:dyDescent="0.2">
      <c r="A43" s="28" t="s">
        <v>41</v>
      </c>
      <c r="B43" s="10">
        <v>62341</v>
      </c>
      <c r="C43" s="10">
        <v>2.63</v>
      </c>
      <c r="D43" s="10">
        <v>11</v>
      </c>
      <c r="E43" s="10">
        <f>SUM(E44:E49)</f>
        <v>0</v>
      </c>
      <c r="F43" s="10">
        <f t="shared" ref="F43:J43" si="17">SUM(F44:F49)</f>
        <v>0</v>
      </c>
      <c r="G43" s="10">
        <f t="shared" si="17"/>
        <v>0</v>
      </c>
      <c r="H43" s="10">
        <f t="shared" si="17"/>
        <v>0</v>
      </c>
      <c r="I43" s="10">
        <f t="shared" si="17"/>
        <v>0</v>
      </c>
      <c r="J43" s="132">
        <f t="shared" si="17"/>
        <v>0</v>
      </c>
      <c r="K43" s="145">
        <f t="shared" si="1"/>
        <v>0</v>
      </c>
    </row>
    <row r="44" spans="1:12" x14ac:dyDescent="0.2">
      <c r="A44" s="30" t="s">
        <v>42</v>
      </c>
      <c r="B44" s="21"/>
      <c r="C44" s="21"/>
      <c r="D44" s="21"/>
      <c r="E44" s="19"/>
      <c r="F44" s="19"/>
      <c r="G44" s="19"/>
      <c r="H44" s="19"/>
      <c r="I44" s="19"/>
      <c r="J44" s="136"/>
      <c r="K44" s="148">
        <f t="shared" si="1"/>
        <v>0</v>
      </c>
      <c r="L44" s="2"/>
    </row>
    <row r="45" spans="1:12" x14ac:dyDescent="0.2">
      <c r="A45" s="30" t="s">
        <v>44</v>
      </c>
      <c r="B45" s="21"/>
      <c r="C45" s="21"/>
      <c r="D45" s="21"/>
      <c r="E45" s="22"/>
      <c r="F45" s="19"/>
      <c r="G45" s="19"/>
      <c r="H45" s="19"/>
      <c r="I45" s="19"/>
      <c r="J45" s="140"/>
      <c r="K45" s="152">
        <f t="shared" si="1"/>
        <v>0</v>
      </c>
    </row>
    <row r="46" spans="1:12" x14ac:dyDescent="0.2">
      <c r="A46" s="30" t="s">
        <v>46</v>
      </c>
      <c r="B46" s="21"/>
      <c r="C46" s="21"/>
      <c r="D46" s="21"/>
      <c r="E46" s="19"/>
      <c r="F46" s="19"/>
      <c r="G46" s="19"/>
      <c r="H46" s="19"/>
      <c r="I46" s="19"/>
      <c r="J46" s="136"/>
      <c r="K46" s="148">
        <f t="shared" si="1"/>
        <v>0</v>
      </c>
    </row>
    <row r="47" spans="1:12" x14ac:dyDescent="0.2">
      <c r="A47" s="30" t="s">
        <v>48</v>
      </c>
      <c r="B47" s="21"/>
      <c r="C47" s="21"/>
      <c r="D47" s="21"/>
      <c r="E47" s="19"/>
      <c r="F47" s="19"/>
      <c r="G47" s="19"/>
      <c r="H47" s="19"/>
      <c r="I47" s="19"/>
      <c r="J47" s="136"/>
      <c r="K47" s="148">
        <f t="shared" si="1"/>
        <v>0</v>
      </c>
    </row>
    <row r="48" spans="1:12" x14ac:dyDescent="0.2">
      <c r="A48" s="30" t="s">
        <v>50</v>
      </c>
      <c r="B48" s="21"/>
      <c r="C48" s="21"/>
      <c r="D48" s="21"/>
      <c r="E48" s="19"/>
      <c r="F48" s="19"/>
      <c r="G48" s="19"/>
      <c r="H48" s="19"/>
      <c r="I48" s="19"/>
      <c r="J48" s="136"/>
      <c r="K48" s="148">
        <f t="shared" si="1"/>
        <v>0</v>
      </c>
    </row>
    <row r="49" spans="1:11" x14ac:dyDescent="0.2">
      <c r="A49" s="30" t="s">
        <v>52</v>
      </c>
      <c r="B49" s="21"/>
      <c r="C49" s="21"/>
      <c r="D49" s="21"/>
      <c r="E49" s="19"/>
      <c r="F49" s="19"/>
      <c r="G49" s="19"/>
      <c r="H49" s="19"/>
      <c r="I49" s="19"/>
      <c r="J49" s="136"/>
      <c r="K49" s="148">
        <f t="shared" si="1"/>
        <v>0</v>
      </c>
    </row>
    <row r="50" spans="1:11" x14ac:dyDescent="0.2">
      <c r="A50" s="28" t="s">
        <v>43</v>
      </c>
      <c r="B50" s="10"/>
      <c r="C50" s="10"/>
      <c r="D50" s="10"/>
      <c r="E50" s="10">
        <f>SUM(E51:E54)</f>
        <v>0</v>
      </c>
      <c r="F50" s="10">
        <f t="shared" ref="F50:J50" si="18">SUM(F51:F54)</f>
        <v>0</v>
      </c>
      <c r="G50" s="10">
        <f t="shared" si="18"/>
        <v>0</v>
      </c>
      <c r="H50" s="10">
        <f t="shared" si="18"/>
        <v>0</v>
      </c>
      <c r="I50" s="10">
        <f t="shared" si="18"/>
        <v>0</v>
      </c>
      <c r="J50" s="132">
        <f t="shared" si="18"/>
        <v>0</v>
      </c>
      <c r="K50" s="145">
        <f t="shared" si="1"/>
        <v>0</v>
      </c>
    </row>
    <row r="51" spans="1:11" x14ac:dyDescent="0.2">
      <c r="A51" s="30" t="s">
        <v>47</v>
      </c>
      <c r="B51" s="21"/>
      <c r="C51" s="21"/>
      <c r="D51" s="21"/>
      <c r="E51" s="19"/>
      <c r="F51" s="19"/>
      <c r="G51" s="19"/>
      <c r="H51" s="19"/>
      <c r="I51" s="19"/>
      <c r="J51" s="136"/>
      <c r="K51" s="148">
        <f t="shared" si="1"/>
        <v>0</v>
      </c>
    </row>
    <row r="52" spans="1:11" x14ac:dyDescent="0.2">
      <c r="A52" s="30" t="s">
        <v>45</v>
      </c>
      <c r="B52" s="21"/>
      <c r="C52" s="21"/>
      <c r="D52" s="21"/>
      <c r="E52" s="19"/>
      <c r="F52" s="19"/>
      <c r="G52" s="19"/>
      <c r="H52" s="19"/>
      <c r="I52" s="19"/>
      <c r="J52" s="136"/>
      <c r="K52" s="148">
        <f t="shared" si="1"/>
        <v>0</v>
      </c>
    </row>
    <row r="53" spans="1:11" x14ac:dyDescent="0.2">
      <c r="A53" s="30" t="s">
        <v>49</v>
      </c>
      <c r="B53" s="21"/>
      <c r="C53" s="21"/>
      <c r="D53" s="21"/>
      <c r="E53" s="19"/>
      <c r="F53" s="19"/>
      <c r="G53" s="19"/>
      <c r="H53" s="19"/>
      <c r="I53" s="19"/>
      <c r="J53" s="136"/>
      <c r="K53" s="148">
        <f t="shared" si="1"/>
        <v>0</v>
      </c>
    </row>
    <row r="54" spans="1:11" x14ac:dyDescent="0.2">
      <c r="A54" s="30" t="s">
        <v>51</v>
      </c>
      <c r="B54" s="21"/>
      <c r="C54" s="21"/>
      <c r="D54" s="21"/>
      <c r="E54" s="19"/>
      <c r="F54" s="19"/>
      <c r="G54" s="19"/>
      <c r="H54" s="19"/>
      <c r="I54" s="19"/>
      <c r="J54" s="136"/>
      <c r="K54" s="148">
        <f t="shared" si="1"/>
        <v>0</v>
      </c>
    </row>
    <row r="55" spans="1:11" s="2" customFormat="1" ht="15" x14ac:dyDescent="0.2">
      <c r="A55" s="28" t="s">
        <v>53</v>
      </c>
      <c r="B55" s="11"/>
      <c r="C55" s="11"/>
      <c r="D55" s="11"/>
      <c r="E55" s="10">
        <f>SUM(E56:E67)</f>
        <v>0</v>
      </c>
      <c r="F55" s="10">
        <f t="shared" ref="F55:J55" si="19">SUM(F56:F67)</f>
        <v>0</v>
      </c>
      <c r="G55" s="10">
        <f t="shared" si="19"/>
        <v>0</v>
      </c>
      <c r="H55" s="10">
        <f t="shared" si="19"/>
        <v>0</v>
      </c>
      <c r="I55" s="10">
        <f t="shared" si="19"/>
        <v>0</v>
      </c>
      <c r="J55" s="132">
        <f t="shared" si="19"/>
        <v>1156400</v>
      </c>
      <c r="K55" s="145">
        <f t="shared" si="1"/>
        <v>1156400</v>
      </c>
    </row>
    <row r="56" spans="1:11" x14ac:dyDescent="0.2">
      <c r="A56" s="27" t="s">
        <v>54</v>
      </c>
      <c r="B56" s="11"/>
      <c r="C56" s="11"/>
      <c r="D56" s="11"/>
      <c r="E56" s="18"/>
      <c r="F56" s="18"/>
      <c r="G56" s="18"/>
      <c r="H56" s="18"/>
      <c r="I56" s="18"/>
      <c r="J56" s="139"/>
      <c r="K56" s="151">
        <f t="shared" si="1"/>
        <v>0</v>
      </c>
    </row>
    <row r="57" spans="1:11" x14ac:dyDescent="0.2">
      <c r="A57" s="27" t="s">
        <v>55</v>
      </c>
      <c r="B57" s="11"/>
      <c r="C57" s="11"/>
      <c r="D57" s="11"/>
      <c r="E57" s="18"/>
      <c r="F57" s="18"/>
      <c r="G57" s="18"/>
      <c r="H57" s="18"/>
      <c r="I57" s="18"/>
      <c r="J57" s="139"/>
      <c r="K57" s="151">
        <f t="shared" si="1"/>
        <v>0</v>
      </c>
    </row>
    <row r="58" spans="1:11" x14ac:dyDescent="0.2">
      <c r="A58" s="27" t="s">
        <v>56</v>
      </c>
      <c r="B58" s="11"/>
      <c r="C58" s="11"/>
      <c r="D58" s="11"/>
      <c r="E58" s="18"/>
      <c r="F58" s="18"/>
      <c r="G58" s="18"/>
      <c r="H58" s="18"/>
      <c r="I58" s="18"/>
      <c r="J58" s="139"/>
      <c r="K58" s="151">
        <f t="shared" si="1"/>
        <v>0</v>
      </c>
    </row>
    <row r="59" spans="1:11" x14ac:dyDescent="0.2">
      <c r="A59" s="27" t="s">
        <v>57</v>
      </c>
      <c r="B59" s="11"/>
      <c r="C59" s="11"/>
      <c r="D59" s="11"/>
      <c r="E59" s="18"/>
      <c r="F59" s="18"/>
      <c r="G59" s="18"/>
      <c r="H59" s="18"/>
      <c r="I59" s="18"/>
      <c r="J59" s="25">
        <f>330400+826000</f>
        <v>1156400</v>
      </c>
      <c r="K59" s="151">
        <f t="shared" si="1"/>
        <v>1156400</v>
      </c>
    </row>
    <row r="60" spans="1:11" x14ac:dyDescent="0.2">
      <c r="A60" s="27" t="s">
        <v>58</v>
      </c>
      <c r="B60" s="11"/>
      <c r="C60" s="11"/>
      <c r="D60" s="11"/>
      <c r="E60" s="18"/>
      <c r="F60" s="18"/>
      <c r="G60" s="18"/>
      <c r="H60" s="18"/>
      <c r="I60" s="18"/>
      <c r="J60" s="139"/>
      <c r="K60" s="151">
        <f t="shared" si="1"/>
        <v>0</v>
      </c>
    </row>
    <row r="61" spans="1:11" x14ac:dyDescent="0.2">
      <c r="A61" s="27" t="s">
        <v>59</v>
      </c>
      <c r="B61" s="11"/>
      <c r="C61" s="11"/>
      <c r="D61" s="11"/>
      <c r="E61" s="16"/>
      <c r="F61" s="16"/>
      <c r="G61" s="15"/>
      <c r="H61" s="18"/>
      <c r="I61" s="18"/>
      <c r="J61" s="139"/>
      <c r="K61" s="151">
        <f t="shared" si="1"/>
        <v>0</v>
      </c>
    </row>
    <row r="62" spans="1:11" x14ac:dyDescent="0.2">
      <c r="A62" s="27" t="s">
        <v>60</v>
      </c>
      <c r="B62" s="11"/>
      <c r="C62" s="11"/>
      <c r="D62" s="11"/>
      <c r="E62" s="16"/>
      <c r="F62" s="16"/>
      <c r="G62" s="15"/>
      <c r="H62" s="18"/>
      <c r="I62" s="18"/>
      <c r="J62" s="139"/>
      <c r="K62" s="151">
        <f t="shared" si="1"/>
        <v>0</v>
      </c>
    </row>
    <row r="63" spans="1:11" x14ac:dyDescent="0.2">
      <c r="A63" s="27" t="s">
        <v>61</v>
      </c>
      <c r="B63" s="11"/>
      <c r="C63" s="11"/>
      <c r="D63" s="11"/>
      <c r="E63" s="18"/>
      <c r="F63" s="18"/>
      <c r="G63" s="18"/>
      <c r="H63" s="18"/>
      <c r="I63" s="18"/>
      <c r="J63" s="139"/>
      <c r="K63" s="151">
        <f t="shared" si="1"/>
        <v>0</v>
      </c>
    </row>
    <row r="64" spans="1:11" x14ac:dyDescent="0.2">
      <c r="A64" s="27" t="s">
        <v>62</v>
      </c>
      <c r="B64" s="11"/>
      <c r="C64" s="11"/>
      <c r="D64" s="11"/>
      <c r="E64" s="16"/>
      <c r="F64" s="16"/>
      <c r="G64" s="16"/>
      <c r="H64" s="16"/>
      <c r="I64" s="18"/>
      <c r="J64" s="139"/>
      <c r="K64" s="151">
        <f t="shared" si="1"/>
        <v>0</v>
      </c>
    </row>
    <row r="65" spans="1:11" x14ac:dyDescent="0.2">
      <c r="A65" s="27" t="s">
        <v>63</v>
      </c>
      <c r="B65" s="11"/>
      <c r="C65" s="11"/>
      <c r="D65" s="11"/>
      <c r="E65" s="16"/>
      <c r="F65" s="16"/>
      <c r="G65" s="15"/>
      <c r="H65" s="18"/>
      <c r="I65" s="18"/>
      <c r="J65" s="139"/>
      <c r="K65" s="151">
        <f t="shared" si="1"/>
        <v>0</v>
      </c>
    </row>
    <row r="66" spans="1:11" x14ac:dyDescent="0.2">
      <c r="A66" s="27" t="s">
        <v>64</v>
      </c>
      <c r="B66" s="11"/>
      <c r="C66" s="11"/>
      <c r="D66" s="11"/>
      <c r="E66" s="16"/>
      <c r="F66" s="16"/>
      <c r="G66" s="16"/>
      <c r="H66" s="16"/>
      <c r="I66" s="18"/>
      <c r="J66" s="139"/>
      <c r="K66" s="151">
        <f t="shared" si="1"/>
        <v>0</v>
      </c>
    </row>
    <row r="67" spans="1:11" x14ac:dyDescent="0.2">
      <c r="A67" s="27" t="s">
        <v>65</v>
      </c>
      <c r="B67" s="11"/>
      <c r="C67" s="11"/>
      <c r="D67" s="11"/>
      <c r="E67" s="16"/>
      <c r="F67" s="16"/>
      <c r="G67" s="16"/>
      <c r="H67" s="18"/>
      <c r="I67" s="18"/>
      <c r="J67" s="139"/>
      <c r="K67" s="151">
        <f t="shared" ref="K67:K98" si="20">SUM(E67:J67)</f>
        <v>0</v>
      </c>
    </row>
    <row r="68" spans="1:11" x14ac:dyDescent="0.2">
      <c r="A68" s="31" t="s">
        <v>66</v>
      </c>
      <c r="B68" s="10"/>
      <c r="C68" s="10"/>
      <c r="D68" s="10"/>
      <c r="E68" s="10">
        <f>SUM(E69:E85)</f>
        <v>0</v>
      </c>
      <c r="F68" s="10">
        <f t="shared" ref="F68:J68" si="21">SUM(F69:F85)</f>
        <v>0</v>
      </c>
      <c r="G68" s="10">
        <f t="shared" si="21"/>
        <v>0</v>
      </c>
      <c r="H68" s="10">
        <f t="shared" si="21"/>
        <v>0</v>
      </c>
      <c r="I68" s="10">
        <f t="shared" si="21"/>
        <v>0</v>
      </c>
      <c r="J68" s="132">
        <f t="shared" si="21"/>
        <v>3140684</v>
      </c>
      <c r="K68" s="145">
        <f t="shared" si="20"/>
        <v>3140684</v>
      </c>
    </row>
    <row r="69" spans="1:11" x14ac:dyDescent="0.2">
      <c r="A69" s="29" t="s">
        <v>67</v>
      </c>
      <c r="B69" s="21"/>
      <c r="C69" s="21"/>
      <c r="D69" s="21"/>
      <c r="E69" s="19"/>
      <c r="F69" s="19"/>
      <c r="G69" s="19"/>
      <c r="H69" s="19"/>
      <c r="I69" s="19"/>
      <c r="J69" s="136"/>
      <c r="K69" s="148">
        <f t="shared" si="20"/>
        <v>0</v>
      </c>
    </row>
    <row r="70" spans="1:11" x14ac:dyDescent="0.2">
      <c r="A70" s="29" t="s">
        <v>68</v>
      </c>
      <c r="B70" s="21"/>
      <c r="C70" s="21"/>
      <c r="D70" s="21"/>
      <c r="E70" s="19"/>
      <c r="F70" s="19"/>
      <c r="G70" s="19"/>
      <c r="H70" s="25"/>
      <c r="I70" s="19"/>
      <c r="J70" s="25"/>
      <c r="K70" s="148">
        <f t="shared" si="20"/>
        <v>0</v>
      </c>
    </row>
    <row r="71" spans="1:11" x14ac:dyDescent="0.2">
      <c r="A71" s="29" t="s">
        <v>69</v>
      </c>
      <c r="B71" s="21"/>
      <c r="C71" s="21"/>
      <c r="D71" s="21"/>
      <c r="E71" s="19"/>
      <c r="F71" s="19"/>
      <c r="G71" s="19"/>
      <c r="H71" s="19"/>
      <c r="I71" s="19"/>
      <c r="J71" s="136"/>
      <c r="K71" s="148">
        <f t="shared" si="20"/>
        <v>0</v>
      </c>
    </row>
    <row r="72" spans="1:11" x14ac:dyDescent="0.2">
      <c r="A72" s="29" t="s">
        <v>70</v>
      </c>
      <c r="B72" s="21"/>
      <c r="C72" s="21"/>
      <c r="D72" s="21"/>
      <c r="E72" s="19"/>
      <c r="F72" s="19"/>
      <c r="G72" s="19"/>
      <c r="H72" s="19"/>
      <c r="I72" s="19"/>
      <c r="J72" s="136"/>
      <c r="K72" s="148">
        <f t="shared" si="20"/>
        <v>0</v>
      </c>
    </row>
    <row r="73" spans="1:11" x14ac:dyDescent="0.2">
      <c r="A73" s="29" t="s">
        <v>71</v>
      </c>
      <c r="B73" s="21"/>
      <c r="C73" s="21"/>
      <c r="D73" s="21"/>
      <c r="E73" s="19"/>
      <c r="F73" s="19"/>
      <c r="G73" s="19"/>
      <c r="H73" s="19"/>
      <c r="I73" s="19"/>
      <c r="J73" s="136"/>
      <c r="K73" s="148">
        <f t="shared" si="20"/>
        <v>0</v>
      </c>
    </row>
    <row r="74" spans="1:11" x14ac:dyDescent="0.2">
      <c r="A74" s="29" t="s">
        <v>72</v>
      </c>
      <c r="B74" s="21"/>
      <c r="C74" s="21"/>
      <c r="D74" s="21"/>
      <c r="E74" s="19"/>
      <c r="F74" s="19"/>
      <c r="G74" s="19"/>
      <c r="H74" s="19"/>
      <c r="I74" s="19"/>
      <c r="J74" s="136"/>
      <c r="K74" s="148">
        <f t="shared" si="20"/>
        <v>0</v>
      </c>
    </row>
    <row r="75" spans="1:11" x14ac:dyDescent="0.2">
      <c r="A75" s="29" t="s">
        <v>73</v>
      </c>
      <c r="B75" s="21"/>
      <c r="C75" s="21"/>
      <c r="D75" s="21"/>
      <c r="E75" s="19"/>
      <c r="F75" s="19"/>
      <c r="G75" s="19"/>
      <c r="H75" s="19"/>
      <c r="I75" s="19"/>
      <c r="J75" s="136"/>
      <c r="K75" s="148">
        <f t="shared" si="20"/>
        <v>0</v>
      </c>
    </row>
    <row r="76" spans="1:11" x14ac:dyDescent="0.2">
      <c r="A76" s="29" t="s">
        <v>74</v>
      </c>
      <c r="B76" s="21"/>
      <c r="C76" s="21"/>
      <c r="D76" s="21"/>
      <c r="E76" s="19"/>
      <c r="F76" s="19"/>
      <c r="G76" s="19"/>
      <c r="H76" s="172"/>
      <c r="I76" s="19"/>
      <c r="J76" s="172">
        <f>171100+236000+845584</f>
        <v>1252684</v>
      </c>
      <c r="K76" s="148">
        <f t="shared" si="20"/>
        <v>1252684</v>
      </c>
    </row>
    <row r="77" spans="1:11" x14ac:dyDescent="0.2">
      <c r="A77" s="29" t="s">
        <v>75</v>
      </c>
      <c r="B77" s="21"/>
      <c r="C77" s="21"/>
      <c r="D77" s="21"/>
      <c r="E77" s="19"/>
      <c r="F77" s="19"/>
      <c r="G77" s="19"/>
      <c r="H77" s="19"/>
      <c r="I77" s="24"/>
      <c r="J77" s="19"/>
      <c r="K77" s="148">
        <f t="shared" si="20"/>
        <v>0</v>
      </c>
    </row>
    <row r="78" spans="1:11" x14ac:dyDescent="0.2">
      <c r="A78" s="29" t="s">
        <v>76</v>
      </c>
      <c r="B78" s="21"/>
      <c r="C78" s="21"/>
      <c r="D78" s="21"/>
      <c r="E78" s="19"/>
      <c r="F78" s="19"/>
      <c r="G78" s="19"/>
      <c r="H78" s="172"/>
      <c r="I78" s="19"/>
      <c r="J78" s="172">
        <v>1888000</v>
      </c>
      <c r="K78" s="148">
        <f t="shared" si="20"/>
        <v>1888000</v>
      </c>
    </row>
    <row r="79" spans="1:11" x14ac:dyDescent="0.2">
      <c r="A79" s="29" t="s">
        <v>62</v>
      </c>
      <c r="B79" s="21"/>
      <c r="C79" s="21"/>
      <c r="D79" s="21"/>
      <c r="E79" s="19"/>
      <c r="F79" s="19"/>
      <c r="G79" s="19"/>
      <c r="H79" s="19"/>
      <c r="I79" s="19"/>
      <c r="J79" s="136"/>
      <c r="K79" s="148">
        <f t="shared" si="20"/>
        <v>0</v>
      </c>
    </row>
    <row r="80" spans="1:11" x14ac:dyDescent="0.2">
      <c r="A80" s="29" t="s">
        <v>77</v>
      </c>
      <c r="B80" s="21"/>
      <c r="C80" s="21"/>
      <c r="D80" s="21"/>
      <c r="E80" s="19"/>
      <c r="F80" s="19"/>
      <c r="G80" s="19"/>
      <c r="H80" s="19"/>
      <c r="I80" s="19"/>
      <c r="J80" s="136"/>
      <c r="K80" s="148">
        <f t="shared" si="20"/>
        <v>0</v>
      </c>
    </row>
    <row r="81" spans="1:11" x14ac:dyDescent="0.2">
      <c r="A81" s="29" t="s">
        <v>78</v>
      </c>
      <c r="B81" s="21"/>
      <c r="C81" s="21"/>
      <c r="D81" s="21"/>
      <c r="E81" s="19"/>
      <c r="F81" s="19"/>
      <c r="G81" s="19"/>
      <c r="H81" s="19"/>
      <c r="I81" s="19"/>
      <c r="J81" s="136"/>
      <c r="K81" s="148">
        <f t="shared" si="20"/>
        <v>0</v>
      </c>
    </row>
    <row r="82" spans="1:11" x14ac:dyDescent="0.2">
      <c r="A82" s="29" t="s">
        <v>79</v>
      </c>
      <c r="B82" s="21"/>
      <c r="C82" s="21"/>
      <c r="D82" s="21"/>
      <c r="E82" s="19"/>
      <c r="F82" s="19"/>
      <c r="G82" s="19"/>
      <c r="H82" s="19"/>
      <c r="I82" s="19"/>
      <c r="J82" s="136"/>
      <c r="K82" s="148">
        <f t="shared" si="20"/>
        <v>0</v>
      </c>
    </row>
    <row r="83" spans="1:11" x14ac:dyDescent="0.2">
      <c r="A83" s="29" t="s">
        <v>80</v>
      </c>
      <c r="B83" s="21"/>
      <c r="C83" s="21"/>
      <c r="D83" s="21"/>
      <c r="E83" s="19"/>
      <c r="F83" s="19"/>
      <c r="G83" s="19"/>
      <c r="H83" s="19"/>
      <c r="I83" s="19"/>
      <c r="J83" s="136"/>
      <c r="K83" s="148">
        <f t="shared" si="20"/>
        <v>0</v>
      </c>
    </row>
    <row r="84" spans="1:11" x14ac:dyDescent="0.2">
      <c r="A84" s="29" t="s">
        <v>81</v>
      </c>
      <c r="B84" s="21"/>
      <c r="C84" s="21"/>
      <c r="D84" s="21"/>
      <c r="E84" s="19"/>
      <c r="F84" s="19"/>
      <c r="G84" s="19"/>
      <c r="H84" s="19"/>
      <c r="I84" s="19"/>
      <c r="J84" s="136"/>
      <c r="K84" s="148">
        <f t="shared" si="20"/>
        <v>0</v>
      </c>
    </row>
    <row r="85" spans="1:11" x14ac:dyDescent="0.2">
      <c r="A85" s="29" t="s">
        <v>82</v>
      </c>
      <c r="B85" s="21"/>
      <c r="C85" s="21"/>
      <c r="D85" s="21"/>
      <c r="E85" s="19"/>
      <c r="F85" s="19"/>
      <c r="G85" s="19"/>
      <c r="H85" s="19"/>
      <c r="I85" s="19"/>
      <c r="J85" s="136"/>
      <c r="K85" s="148">
        <f t="shared" si="20"/>
        <v>0</v>
      </c>
    </row>
    <row r="86" spans="1:11" x14ac:dyDescent="0.2">
      <c r="A86" s="28" t="s">
        <v>83</v>
      </c>
      <c r="B86" s="10"/>
      <c r="C86" s="10"/>
      <c r="D86" s="10"/>
      <c r="E86" s="10">
        <f>SUM(E87)</f>
        <v>0</v>
      </c>
      <c r="F86" s="10">
        <f t="shared" ref="F86" si="22">SUM(F87)</f>
        <v>0</v>
      </c>
      <c r="G86" s="10">
        <f t="shared" ref="G86" si="23">SUM(G87)</f>
        <v>0</v>
      </c>
      <c r="H86" s="10">
        <f t="shared" ref="H86" si="24">SUM(H87)</f>
        <v>0</v>
      </c>
      <c r="I86" s="10">
        <f t="shared" ref="I86" si="25">SUM(I87)</f>
        <v>0</v>
      </c>
      <c r="J86" s="132">
        <f t="shared" ref="J86" si="26">SUM(J87)</f>
        <v>0</v>
      </c>
      <c r="K86" s="145">
        <f t="shared" si="20"/>
        <v>0</v>
      </c>
    </row>
    <row r="87" spans="1:11" x14ac:dyDescent="0.2">
      <c r="A87" s="29" t="s">
        <v>84</v>
      </c>
      <c r="B87" s="21"/>
      <c r="C87" s="21"/>
      <c r="D87" s="21"/>
      <c r="E87" s="19"/>
      <c r="F87" s="19"/>
      <c r="G87" s="20"/>
      <c r="H87" s="19"/>
      <c r="I87" s="19"/>
      <c r="J87" s="136"/>
      <c r="K87" s="148">
        <f t="shared" si="20"/>
        <v>0</v>
      </c>
    </row>
    <row r="88" spans="1:11" x14ac:dyDescent="0.2">
      <c r="A88" s="31" t="s">
        <v>85</v>
      </c>
      <c r="B88" s="10"/>
      <c r="C88" s="10"/>
      <c r="D88" s="10"/>
      <c r="E88" s="10">
        <f>SUM(E89:E90)</f>
        <v>0</v>
      </c>
      <c r="F88" s="10">
        <f t="shared" ref="F88:J88" si="27">SUM(F89:F90)</f>
        <v>0</v>
      </c>
      <c r="G88" s="10">
        <f t="shared" si="27"/>
        <v>0</v>
      </c>
      <c r="H88" s="10">
        <f t="shared" si="27"/>
        <v>565573</v>
      </c>
      <c r="I88" s="10">
        <f t="shared" si="27"/>
        <v>0</v>
      </c>
      <c r="J88" s="132">
        <f t="shared" si="27"/>
        <v>0</v>
      </c>
      <c r="K88" s="145">
        <f t="shared" si="20"/>
        <v>565573</v>
      </c>
    </row>
    <row r="89" spans="1:11" x14ac:dyDescent="0.2">
      <c r="A89" s="29" t="s">
        <v>86</v>
      </c>
      <c r="B89" s="21"/>
      <c r="C89" s="21"/>
      <c r="D89" s="21"/>
      <c r="E89" s="19"/>
      <c r="F89" s="19"/>
      <c r="G89" s="19"/>
      <c r="H89" s="19"/>
      <c r="I89" s="19"/>
      <c r="J89" s="136"/>
      <c r="K89" s="148">
        <f t="shared" si="20"/>
        <v>0</v>
      </c>
    </row>
    <row r="90" spans="1:11" x14ac:dyDescent="0.2">
      <c r="A90" s="29" t="s">
        <v>87</v>
      </c>
      <c r="B90" s="21"/>
      <c r="C90" s="21"/>
      <c r="D90" s="21"/>
      <c r="E90" s="19"/>
      <c r="F90" s="19"/>
      <c r="G90" s="19"/>
      <c r="H90" s="19">
        <f>565573</f>
        <v>565573</v>
      </c>
      <c r="I90" s="17"/>
      <c r="J90" s="136"/>
      <c r="K90" s="148">
        <f t="shared" si="20"/>
        <v>565573</v>
      </c>
    </row>
    <row r="91" spans="1:11" x14ac:dyDescent="0.2">
      <c r="A91" s="28" t="s">
        <v>88</v>
      </c>
      <c r="B91" s="10">
        <v>875767</v>
      </c>
      <c r="C91" s="10">
        <v>35.799999999999997</v>
      </c>
      <c r="D91" s="10">
        <v>20</v>
      </c>
      <c r="E91" s="10">
        <f>SUM(E92:E98)</f>
        <v>0</v>
      </c>
      <c r="F91" s="10">
        <f t="shared" ref="F91:J91" si="28">SUM(F92:F98)</f>
        <v>0</v>
      </c>
      <c r="G91" s="10">
        <f t="shared" si="28"/>
        <v>0</v>
      </c>
      <c r="H91" s="10">
        <f t="shared" si="28"/>
        <v>0</v>
      </c>
      <c r="I91" s="10">
        <f>SUM(I92:I98)</f>
        <v>0</v>
      </c>
      <c r="J91" s="132">
        <f t="shared" si="28"/>
        <v>0</v>
      </c>
      <c r="K91" s="145">
        <f t="shared" si="20"/>
        <v>0</v>
      </c>
    </row>
    <row r="92" spans="1:11" x14ac:dyDescent="0.2">
      <c r="A92" s="27" t="s">
        <v>89</v>
      </c>
      <c r="B92" s="11"/>
      <c r="C92" s="11"/>
      <c r="D92" s="11"/>
      <c r="E92" s="25"/>
      <c r="F92" s="25"/>
      <c r="G92" s="25"/>
      <c r="H92" s="25"/>
      <c r="I92" s="25"/>
      <c r="J92" s="141"/>
      <c r="K92" s="153">
        <f t="shared" si="20"/>
        <v>0</v>
      </c>
    </row>
    <row r="93" spans="1:11" x14ac:dyDescent="0.2">
      <c r="A93" s="27" t="s">
        <v>90</v>
      </c>
      <c r="B93" s="11"/>
      <c r="C93" s="11"/>
      <c r="D93" s="11"/>
      <c r="E93" s="25"/>
      <c r="F93" s="25"/>
      <c r="G93" s="25"/>
      <c r="H93" s="25"/>
      <c r="I93" s="25"/>
      <c r="J93" s="141"/>
      <c r="K93" s="153">
        <f t="shared" si="20"/>
        <v>0</v>
      </c>
    </row>
    <row r="94" spans="1:11" x14ac:dyDescent="0.2">
      <c r="A94" s="27" t="s">
        <v>91</v>
      </c>
      <c r="B94" s="11"/>
      <c r="C94" s="11"/>
      <c r="D94" s="11"/>
      <c r="E94" s="25"/>
      <c r="F94" s="25"/>
      <c r="G94" s="25"/>
      <c r="H94" s="25"/>
      <c r="I94" s="25"/>
      <c r="J94" s="141"/>
      <c r="K94" s="153">
        <f t="shared" si="20"/>
        <v>0</v>
      </c>
    </row>
    <row r="95" spans="1:11" x14ac:dyDescent="0.2">
      <c r="A95" s="30" t="s">
        <v>92</v>
      </c>
      <c r="B95" s="21"/>
      <c r="C95" s="21"/>
      <c r="D95" s="21"/>
      <c r="E95" s="25"/>
      <c r="F95" s="25"/>
      <c r="G95" s="25"/>
      <c r="H95" s="25"/>
      <c r="I95" s="25"/>
      <c r="J95" s="141"/>
      <c r="K95" s="153">
        <f t="shared" si="20"/>
        <v>0</v>
      </c>
    </row>
    <row r="96" spans="1:11" x14ac:dyDescent="0.2">
      <c r="A96" s="30" t="s">
        <v>93</v>
      </c>
      <c r="B96" s="21"/>
      <c r="C96" s="21"/>
      <c r="D96" s="21"/>
      <c r="E96" s="25"/>
      <c r="F96" s="25"/>
      <c r="G96" s="25"/>
      <c r="H96" s="25"/>
      <c r="I96" s="25"/>
      <c r="J96" s="141"/>
      <c r="K96" s="153">
        <f t="shared" si="20"/>
        <v>0</v>
      </c>
    </row>
    <row r="97" spans="1:11" x14ac:dyDescent="0.2">
      <c r="A97" s="30" t="s">
        <v>94</v>
      </c>
      <c r="B97" s="21"/>
      <c r="C97" s="21"/>
      <c r="D97" s="21"/>
      <c r="E97" s="23"/>
      <c r="F97" s="23"/>
      <c r="G97" s="23"/>
      <c r="H97" s="23"/>
      <c r="I97" s="23"/>
      <c r="J97" s="140"/>
      <c r="K97" s="152">
        <f t="shared" si="20"/>
        <v>0</v>
      </c>
    </row>
    <row r="98" spans="1:11" x14ac:dyDescent="0.2">
      <c r="A98" s="30" t="s">
        <v>95</v>
      </c>
      <c r="B98" s="21"/>
      <c r="C98" s="21"/>
      <c r="D98" s="21"/>
      <c r="E98" s="23"/>
      <c r="F98" s="23"/>
      <c r="G98" s="23"/>
      <c r="H98" s="23"/>
      <c r="I98" s="23"/>
      <c r="J98" s="140"/>
      <c r="K98" s="152">
        <f t="shared" si="20"/>
        <v>0</v>
      </c>
    </row>
    <row r="99" spans="1:11" ht="14.25" customHeight="1" thickBot="1" x14ac:dyDescent="0.25">
      <c r="A99" s="32" t="s">
        <v>96</v>
      </c>
      <c r="B99" s="33"/>
      <c r="C99" s="33"/>
      <c r="D99" s="33"/>
      <c r="E99" s="34">
        <f>SUM(E91,E88,E86,E68,E55,E50,E43,E41,E39,E34,E27,E17,E15,E8,E4)</f>
        <v>861400</v>
      </c>
      <c r="F99" s="34">
        <f t="shared" ref="F99:J99" si="29">SUM(F91,F88,F86,F68,F55,F50,F43,F41,F39,F34,F27,F17,F15,F8,F4)</f>
        <v>0</v>
      </c>
      <c r="G99" s="34">
        <f t="shared" si="29"/>
        <v>0</v>
      </c>
      <c r="H99" s="34">
        <f t="shared" si="29"/>
        <v>565573</v>
      </c>
      <c r="I99" s="34">
        <f t="shared" si="29"/>
        <v>0</v>
      </c>
      <c r="J99" s="142">
        <f t="shared" si="29"/>
        <v>4297084</v>
      </c>
      <c r="K99" s="154">
        <f>SUM(E99:J99)</f>
        <v>5724057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81D7-61BA-2E4F-AB54-F6ACC4438472}">
  <dimension ref="A1:L99"/>
  <sheetViews>
    <sheetView topLeftCell="A4" zoomScale="125" workbookViewId="0">
      <selection activeCell="K74" sqref="K74:K78"/>
    </sheetView>
  </sheetViews>
  <sheetFormatPr baseColWidth="10" defaultColWidth="8.83203125" defaultRowHeight="16" x14ac:dyDescent="0.2"/>
  <cols>
    <col min="1" max="1" width="68.1640625" style="4" customWidth="1"/>
    <col min="2" max="2" width="24.6640625" style="4" hidden="1" customWidth="1"/>
    <col min="3" max="3" width="23.1640625" style="4" hidden="1" customWidth="1"/>
    <col min="4" max="4" width="21" style="4" hidden="1" customWidth="1"/>
    <col min="5" max="5" width="9.1640625" style="5" bestFit="1" customWidth="1"/>
    <col min="6" max="6" width="12.6640625" style="5" bestFit="1" customWidth="1"/>
    <col min="7" max="7" width="13.6640625" bestFit="1" customWidth="1"/>
    <col min="8" max="10" width="14.5" bestFit="1" customWidth="1"/>
    <col min="11" max="11" width="11.83203125" bestFit="1" customWidth="1"/>
    <col min="12" max="12" width="13.1640625" customWidth="1"/>
  </cols>
  <sheetData>
    <row r="1" spans="1:11" ht="23" thickBot="1" x14ac:dyDescent="0.25">
      <c r="A1" s="155" t="s">
        <v>108</v>
      </c>
      <c r="B1" s="156"/>
      <c r="C1" s="156"/>
      <c r="D1" s="156"/>
      <c r="E1" s="156"/>
      <c r="F1" s="156"/>
      <c r="G1" s="156"/>
      <c r="H1" s="156"/>
      <c r="I1" s="156"/>
      <c r="J1" s="156"/>
    </row>
    <row r="2" spans="1:11" ht="32" x14ac:dyDescent="0.2">
      <c r="A2" s="26" t="s">
        <v>0</v>
      </c>
      <c r="B2" s="6"/>
      <c r="C2" s="6"/>
      <c r="D2" s="6"/>
      <c r="E2" s="7" t="s">
        <v>107</v>
      </c>
      <c r="F2" s="35" t="s">
        <v>120</v>
      </c>
      <c r="G2" s="35" t="s">
        <v>121</v>
      </c>
      <c r="H2" s="35" t="s">
        <v>122</v>
      </c>
      <c r="I2" s="35" t="s">
        <v>123</v>
      </c>
      <c r="J2" s="35" t="s">
        <v>124</v>
      </c>
      <c r="K2" s="143" t="s">
        <v>116</v>
      </c>
    </row>
    <row r="3" spans="1:11" x14ac:dyDescent="0.2">
      <c r="A3" s="27"/>
      <c r="B3" s="8"/>
      <c r="C3" s="8"/>
      <c r="D3" s="8"/>
      <c r="E3" s="9"/>
      <c r="F3" s="9"/>
      <c r="G3" s="9"/>
      <c r="H3" s="9"/>
      <c r="I3" s="9"/>
      <c r="J3" s="9"/>
      <c r="K3" s="9"/>
    </row>
    <row r="4" spans="1:11" x14ac:dyDescent="0.2">
      <c r="A4" s="28" t="s">
        <v>2</v>
      </c>
      <c r="B4" s="10">
        <v>725167</v>
      </c>
      <c r="C4" s="10">
        <v>31.1</v>
      </c>
      <c r="D4" s="10">
        <v>11</v>
      </c>
      <c r="E4" s="10">
        <f>SUM(E5:E7)</f>
        <v>856000</v>
      </c>
      <c r="F4" s="10">
        <f t="shared" ref="F4:J4" si="0">SUM(F5:F7)</f>
        <v>0</v>
      </c>
      <c r="G4" s="10">
        <f t="shared" si="0"/>
        <v>0</v>
      </c>
      <c r="H4" s="10">
        <f t="shared" si="0"/>
        <v>0</v>
      </c>
      <c r="I4" s="10">
        <f t="shared" si="0"/>
        <v>0</v>
      </c>
      <c r="J4" s="10">
        <f t="shared" si="0"/>
        <v>0</v>
      </c>
      <c r="K4" s="10">
        <f t="shared" ref="K4:K66" si="1">SUM(E4:J4)</f>
        <v>856000</v>
      </c>
    </row>
    <row r="5" spans="1:11" x14ac:dyDescent="0.2">
      <c r="A5" s="27" t="s">
        <v>3</v>
      </c>
      <c r="B5" s="11"/>
      <c r="C5" s="11"/>
      <c r="D5" s="11"/>
      <c r="E5" s="12">
        <v>590000</v>
      </c>
      <c r="F5" s="12"/>
      <c r="G5" s="12"/>
      <c r="H5" s="12"/>
      <c r="I5" s="12"/>
      <c r="J5" s="12"/>
      <c r="K5" s="12">
        <f t="shared" si="1"/>
        <v>590000</v>
      </c>
    </row>
    <row r="6" spans="1:11" x14ac:dyDescent="0.2">
      <c r="A6" s="27" t="s">
        <v>4</v>
      </c>
      <c r="B6" s="11"/>
      <c r="C6" s="11"/>
      <c r="D6" s="11"/>
      <c r="E6" s="12">
        <v>236000</v>
      </c>
      <c r="F6" s="12"/>
      <c r="G6" s="12"/>
      <c r="H6" s="12"/>
      <c r="I6" s="12"/>
      <c r="J6" s="12"/>
      <c r="K6" s="12">
        <f t="shared" si="1"/>
        <v>236000</v>
      </c>
    </row>
    <row r="7" spans="1:11" x14ac:dyDescent="0.2">
      <c r="A7" s="27" t="s">
        <v>5</v>
      </c>
      <c r="B7" s="11"/>
      <c r="C7" s="11"/>
      <c r="D7" s="11"/>
      <c r="E7" s="13">
        <v>30000</v>
      </c>
      <c r="F7" s="13"/>
      <c r="G7" s="13"/>
      <c r="H7" s="13"/>
      <c r="I7" s="13"/>
      <c r="J7" s="13"/>
      <c r="K7" s="13">
        <f t="shared" si="1"/>
        <v>30000</v>
      </c>
    </row>
    <row r="8" spans="1:11" x14ac:dyDescent="0.2">
      <c r="A8" s="28" t="s">
        <v>6</v>
      </c>
      <c r="B8" s="10"/>
      <c r="C8" s="10"/>
      <c r="D8" s="10">
        <v>9</v>
      </c>
      <c r="E8" s="10">
        <f>SUM(E9:E14)</f>
        <v>0</v>
      </c>
      <c r="F8" s="10">
        <f t="shared" ref="F8:J8" si="2">SUM(F9:F14)</f>
        <v>0</v>
      </c>
      <c r="G8" s="10">
        <f t="shared" si="2"/>
        <v>0</v>
      </c>
      <c r="H8" s="10">
        <f t="shared" si="2"/>
        <v>0</v>
      </c>
      <c r="I8" s="10">
        <f t="shared" si="2"/>
        <v>3089677.78</v>
      </c>
      <c r="J8" s="10">
        <f t="shared" si="2"/>
        <v>0</v>
      </c>
      <c r="K8" s="10">
        <f t="shared" si="1"/>
        <v>3089677.78</v>
      </c>
    </row>
    <row r="9" spans="1:11" x14ac:dyDescent="0.2">
      <c r="A9" s="27" t="s">
        <v>7</v>
      </c>
      <c r="B9" s="11"/>
      <c r="C9" s="11"/>
      <c r="D9" s="11"/>
      <c r="E9" s="13"/>
      <c r="F9" s="13"/>
      <c r="G9" s="13"/>
      <c r="H9" s="13"/>
      <c r="I9" s="13"/>
      <c r="J9" s="13"/>
      <c r="K9" s="13">
        <f t="shared" si="1"/>
        <v>0</v>
      </c>
    </row>
    <row r="10" spans="1:11" x14ac:dyDescent="0.2">
      <c r="A10" s="27" t="s">
        <v>8</v>
      </c>
      <c r="B10" s="11"/>
      <c r="C10" s="11"/>
      <c r="D10" s="11"/>
      <c r="E10" s="13"/>
      <c r="F10" s="13"/>
      <c r="G10" s="13"/>
      <c r="H10" s="13"/>
      <c r="I10" s="13">
        <f>3089677.78</f>
        <v>3089677.78</v>
      </c>
      <c r="J10" s="13"/>
      <c r="K10" s="13">
        <f t="shared" si="1"/>
        <v>3089677.78</v>
      </c>
    </row>
    <row r="11" spans="1:11" x14ac:dyDescent="0.2">
      <c r="A11" s="27" t="s">
        <v>9</v>
      </c>
      <c r="B11" s="11"/>
      <c r="C11" s="11"/>
      <c r="D11" s="11"/>
      <c r="E11" s="13"/>
      <c r="F11" s="13"/>
      <c r="G11" s="13"/>
      <c r="H11" s="13"/>
      <c r="I11" s="13"/>
      <c r="J11" s="13"/>
      <c r="K11" s="13">
        <f t="shared" si="1"/>
        <v>0</v>
      </c>
    </row>
    <row r="12" spans="1:11" x14ac:dyDescent="0.2">
      <c r="A12" s="27" t="s">
        <v>10</v>
      </c>
      <c r="B12" s="11"/>
      <c r="C12" s="11"/>
      <c r="D12" s="11"/>
      <c r="E12" s="13"/>
      <c r="F12" s="13"/>
      <c r="G12" s="13"/>
      <c r="H12" s="13"/>
      <c r="I12" s="13"/>
      <c r="J12" s="13"/>
      <c r="K12" s="13">
        <f t="shared" si="1"/>
        <v>0</v>
      </c>
    </row>
    <row r="13" spans="1:11" x14ac:dyDescent="0.2">
      <c r="A13" s="27" t="s">
        <v>11</v>
      </c>
      <c r="B13" s="11"/>
      <c r="C13" s="11"/>
      <c r="D13" s="11"/>
      <c r="E13" s="13"/>
      <c r="F13" s="13"/>
      <c r="G13" s="13"/>
      <c r="H13" s="13"/>
      <c r="I13" s="13"/>
      <c r="J13" s="13"/>
      <c r="K13" s="13">
        <f t="shared" si="1"/>
        <v>0</v>
      </c>
    </row>
    <row r="14" spans="1:11" x14ac:dyDescent="0.2">
      <c r="A14" s="27" t="s">
        <v>12</v>
      </c>
      <c r="B14" s="11"/>
      <c r="C14" s="11"/>
      <c r="D14" s="11"/>
      <c r="E14" s="13"/>
      <c r="F14" s="13"/>
      <c r="G14" s="13"/>
      <c r="H14" s="13"/>
      <c r="I14" s="13"/>
      <c r="J14" s="13"/>
      <c r="K14" s="13">
        <f t="shared" si="1"/>
        <v>0</v>
      </c>
    </row>
    <row r="15" spans="1:11" x14ac:dyDescent="0.2">
      <c r="A15" s="28" t="s">
        <v>13</v>
      </c>
      <c r="B15" s="10">
        <v>724989</v>
      </c>
      <c r="C15" s="10">
        <v>29.55</v>
      </c>
      <c r="D15" s="10">
        <v>16</v>
      </c>
      <c r="E15" s="10">
        <f>SUM(E16)</f>
        <v>0</v>
      </c>
      <c r="F15" s="10">
        <f t="shared" ref="F15:J15" si="3">SUM(F16)</f>
        <v>0</v>
      </c>
      <c r="G15" s="10">
        <f t="shared" si="3"/>
        <v>0</v>
      </c>
      <c r="H15" s="10">
        <f t="shared" si="3"/>
        <v>0</v>
      </c>
      <c r="I15" s="10">
        <f t="shared" si="3"/>
        <v>0</v>
      </c>
      <c r="J15" s="10">
        <f t="shared" si="3"/>
        <v>0</v>
      </c>
      <c r="K15" s="10">
        <f t="shared" si="1"/>
        <v>0</v>
      </c>
    </row>
    <row r="16" spans="1:11" x14ac:dyDescent="0.2">
      <c r="A16" s="27" t="s">
        <v>14</v>
      </c>
      <c r="B16" s="11"/>
      <c r="C16" s="11"/>
      <c r="D16" s="11"/>
      <c r="E16" s="14"/>
      <c r="F16" s="14"/>
      <c r="G16" s="14"/>
      <c r="H16" s="14"/>
      <c r="I16" s="14"/>
      <c r="J16" s="169"/>
      <c r="K16" s="14">
        <f t="shared" si="1"/>
        <v>0</v>
      </c>
    </row>
    <row r="17" spans="1:11" x14ac:dyDescent="0.2">
      <c r="A17" s="28" t="s">
        <v>15</v>
      </c>
      <c r="B17" s="10"/>
      <c r="C17" s="10">
        <v>0</v>
      </c>
      <c r="D17" s="10">
        <v>16</v>
      </c>
      <c r="E17" s="10">
        <f>SUM(E18:E26)</f>
        <v>0</v>
      </c>
      <c r="F17" s="10">
        <f t="shared" ref="F17:J17" si="4">SUM(F18:F26)</f>
        <v>0</v>
      </c>
      <c r="G17" s="10">
        <f t="shared" si="4"/>
        <v>0</v>
      </c>
      <c r="H17" s="10">
        <f t="shared" si="4"/>
        <v>0</v>
      </c>
      <c r="I17" s="10">
        <f t="shared" si="4"/>
        <v>0</v>
      </c>
      <c r="J17" s="10">
        <f t="shared" si="4"/>
        <v>0</v>
      </c>
      <c r="K17" s="10">
        <f t="shared" si="1"/>
        <v>0</v>
      </c>
    </row>
    <row r="18" spans="1:11" x14ac:dyDescent="0.2">
      <c r="A18" s="27" t="s">
        <v>16</v>
      </c>
      <c r="B18" s="11"/>
      <c r="C18" s="11"/>
      <c r="D18" s="11"/>
      <c r="E18" s="14"/>
      <c r="F18" s="14"/>
      <c r="G18" s="14"/>
      <c r="H18" s="14"/>
      <c r="I18" s="14"/>
      <c r="J18" s="169"/>
      <c r="K18" s="14">
        <f t="shared" si="1"/>
        <v>0</v>
      </c>
    </row>
    <row r="19" spans="1:11" x14ac:dyDescent="0.2">
      <c r="A19" s="27" t="s">
        <v>17</v>
      </c>
      <c r="B19" s="11"/>
      <c r="C19" s="11"/>
      <c r="D19" s="11"/>
      <c r="E19" s="14"/>
      <c r="F19" s="14"/>
      <c r="G19" s="14"/>
      <c r="H19" s="14"/>
      <c r="I19" s="14"/>
      <c r="J19" s="169"/>
      <c r="K19" s="14">
        <f t="shared" si="1"/>
        <v>0</v>
      </c>
    </row>
    <row r="20" spans="1:11" x14ac:dyDescent="0.2">
      <c r="A20" s="27" t="s">
        <v>18</v>
      </c>
      <c r="B20" s="11"/>
      <c r="C20" s="11"/>
      <c r="D20" s="11"/>
      <c r="E20" s="14"/>
      <c r="F20" s="14"/>
      <c r="G20" s="14"/>
      <c r="H20" s="14"/>
      <c r="I20" s="14"/>
      <c r="J20" s="169"/>
      <c r="K20" s="14">
        <f t="shared" si="1"/>
        <v>0</v>
      </c>
    </row>
    <row r="21" spans="1:11" x14ac:dyDescent="0.2">
      <c r="A21" s="27" t="s">
        <v>19</v>
      </c>
      <c r="B21" s="11"/>
      <c r="C21" s="11"/>
      <c r="D21" s="11"/>
      <c r="E21" s="14"/>
      <c r="F21" s="14"/>
      <c r="G21" s="14"/>
      <c r="H21" s="14"/>
      <c r="I21" s="14"/>
      <c r="J21" s="169"/>
      <c r="K21" s="14">
        <f t="shared" si="1"/>
        <v>0</v>
      </c>
    </row>
    <row r="22" spans="1:11" x14ac:dyDescent="0.2">
      <c r="A22" s="29" t="s">
        <v>20</v>
      </c>
      <c r="B22" s="11"/>
      <c r="C22" s="11"/>
      <c r="D22" s="11"/>
      <c r="E22" s="14"/>
      <c r="F22" s="14"/>
      <c r="G22" s="14"/>
      <c r="H22" s="14"/>
      <c r="I22" s="14"/>
      <c r="J22" s="169"/>
      <c r="K22" s="14">
        <f t="shared" si="1"/>
        <v>0</v>
      </c>
    </row>
    <row r="23" spans="1:11" x14ac:dyDescent="0.2">
      <c r="A23" s="29" t="s">
        <v>21</v>
      </c>
      <c r="B23" s="11"/>
      <c r="C23" s="11"/>
      <c r="D23" s="11"/>
      <c r="E23" s="14"/>
      <c r="F23" s="14"/>
      <c r="G23" s="14"/>
      <c r="H23" s="14"/>
      <c r="I23" s="14"/>
      <c r="J23" s="169"/>
      <c r="K23" s="14">
        <f t="shared" si="1"/>
        <v>0</v>
      </c>
    </row>
    <row r="24" spans="1:11" x14ac:dyDescent="0.2">
      <c r="A24" s="29" t="s">
        <v>22</v>
      </c>
      <c r="B24" s="11"/>
      <c r="C24" s="11"/>
      <c r="D24" s="11"/>
      <c r="E24" s="14"/>
      <c r="F24" s="14"/>
      <c r="G24" s="14"/>
      <c r="H24" s="14"/>
      <c r="I24" s="14"/>
      <c r="J24" s="169"/>
      <c r="K24" s="14">
        <f t="shared" si="1"/>
        <v>0</v>
      </c>
    </row>
    <row r="25" spans="1:11" x14ac:dyDescent="0.2">
      <c r="A25" s="29" t="s">
        <v>23</v>
      </c>
      <c r="B25" s="11"/>
      <c r="C25" s="11"/>
      <c r="D25" s="11"/>
      <c r="E25" s="14"/>
      <c r="F25" s="14"/>
      <c r="G25" s="14"/>
      <c r="H25" s="14"/>
      <c r="I25" s="14"/>
      <c r="J25" s="169"/>
      <c r="K25" s="14">
        <f t="shared" si="1"/>
        <v>0</v>
      </c>
    </row>
    <row r="26" spans="1:11" x14ac:dyDescent="0.2">
      <c r="A26" s="27" t="s">
        <v>24</v>
      </c>
      <c r="B26" s="11"/>
      <c r="C26" s="11"/>
      <c r="D26" s="11"/>
      <c r="E26" s="14"/>
      <c r="F26" s="14"/>
      <c r="G26" s="14"/>
      <c r="H26" s="14"/>
      <c r="I26" s="14"/>
      <c r="J26" s="169"/>
      <c r="K26" s="14">
        <f t="shared" si="1"/>
        <v>0</v>
      </c>
    </row>
    <row r="27" spans="1:11" x14ac:dyDescent="0.2">
      <c r="A27" s="28" t="s">
        <v>25</v>
      </c>
      <c r="B27" s="10">
        <v>24017</v>
      </c>
      <c r="C27" s="10">
        <v>0.9</v>
      </c>
      <c r="D27" s="10">
        <v>1</v>
      </c>
      <c r="E27" s="10">
        <f>SUM(E28:E33)</f>
        <v>0</v>
      </c>
      <c r="F27" s="10">
        <f t="shared" ref="F27:J27" si="5">SUM(F28:F33)</f>
        <v>0</v>
      </c>
      <c r="G27" s="10">
        <f t="shared" si="5"/>
        <v>0</v>
      </c>
      <c r="H27" s="10">
        <f t="shared" si="5"/>
        <v>0</v>
      </c>
      <c r="I27" s="10">
        <f t="shared" si="5"/>
        <v>0</v>
      </c>
      <c r="J27" s="10">
        <f t="shared" si="5"/>
        <v>10034310.1</v>
      </c>
      <c r="K27" s="10">
        <f t="shared" si="1"/>
        <v>10034310.1</v>
      </c>
    </row>
    <row r="28" spans="1:11" x14ac:dyDescent="0.2">
      <c r="A28" s="27" t="s">
        <v>26</v>
      </c>
      <c r="B28" s="11"/>
      <c r="C28" s="11"/>
      <c r="D28" s="11"/>
      <c r="E28" s="15"/>
      <c r="F28" s="16"/>
      <c r="G28" s="15"/>
      <c r="H28" s="17"/>
      <c r="I28" s="18"/>
      <c r="J28" s="19">
        <f>326236.8+1589205+128986.25+7989882.05</f>
        <v>10034310.1</v>
      </c>
      <c r="K28" s="19">
        <f t="shared" si="1"/>
        <v>10034310.1</v>
      </c>
    </row>
    <row r="29" spans="1:11" x14ac:dyDescent="0.2">
      <c r="A29" s="27" t="s">
        <v>27</v>
      </c>
      <c r="B29" s="11"/>
      <c r="C29" s="11"/>
      <c r="D29" s="11"/>
      <c r="E29" s="16"/>
      <c r="F29" s="16"/>
      <c r="G29" s="15"/>
      <c r="H29" s="16"/>
      <c r="I29" s="19"/>
      <c r="J29" s="19"/>
      <c r="K29" s="19">
        <f t="shared" si="1"/>
        <v>0</v>
      </c>
    </row>
    <row r="30" spans="1:11" x14ac:dyDescent="0.2">
      <c r="A30" s="27" t="s">
        <v>28</v>
      </c>
      <c r="B30" s="11"/>
      <c r="C30" s="11"/>
      <c r="D30" s="11"/>
      <c r="E30" s="16"/>
      <c r="F30" s="16"/>
      <c r="G30" s="15"/>
      <c r="H30" s="16"/>
      <c r="I30" s="19"/>
      <c r="J30" s="19"/>
      <c r="K30" s="19">
        <f t="shared" si="1"/>
        <v>0</v>
      </c>
    </row>
    <row r="31" spans="1:11" x14ac:dyDescent="0.2">
      <c r="A31" s="27" t="s">
        <v>29</v>
      </c>
      <c r="B31" s="11"/>
      <c r="C31" s="11"/>
      <c r="D31" s="11"/>
      <c r="E31" s="16"/>
      <c r="F31" s="16"/>
      <c r="G31" s="15"/>
      <c r="H31" s="17"/>
      <c r="I31" s="18"/>
      <c r="J31" s="19"/>
      <c r="K31" s="19">
        <f t="shared" si="1"/>
        <v>0</v>
      </c>
    </row>
    <row r="32" spans="1:11" x14ac:dyDescent="0.2">
      <c r="A32" s="30" t="s">
        <v>30</v>
      </c>
      <c r="B32" s="11"/>
      <c r="C32" s="11"/>
      <c r="D32" s="11"/>
      <c r="E32" s="16"/>
      <c r="F32" s="16"/>
      <c r="G32" s="15"/>
      <c r="H32" s="18"/>
      <c r="I32" s="19"/>
      <c r="J32" s="19"/>
      <c r="K32" s="19">
        <f t="shared" si="1"/>
        <v>0</v>
      </c>
    </row>
    <row r="33" spans="1:12" x14ac:dyDescent="0.2">
      <c r="A33" s="27" t="s">
        <v>31</v>
      </c>
      <c r="B33" s="11"/>
      <c r="C33" s="11"/>
      <c r="D33" s="11"/>
      <c r="E33" s="16"/>
      <c r="F33" s="16"/>
      <c r="G33" s="15"/>
      <c r="H33" s="17"/>
      <c r="I33" s="18"/>
      <c r="J33" s="19"/>
      <c r="K33" s="19">
        <f t="shared" si="1"/>
        <v>0</v>
      </c>
    </row>
    <row r="34" spans="1:12" x14ac:dyDescent="0.2">
      <c r="A34" s="28" t="s">
        <v>32</v>
      </c>
      <c r="B34" s="10"/>
      <c r="C34" s="10">
        <v>0</v>
      </c>
      <c r="D34" s="10">
        <v>14</v>
      </c>
      <c r="E34" s="10">
        <f>SUM(E35:E38)</f>
        <v>0</v>
      </c>
      <c r="F34" s="10">
        <f t="shared" ref="F34:I34" si="6">SUM(F35:F38)</f>
        <v>0</v>
      </c>
      <c r="G34" s="10">
        <f t="shared" si="6"/>
        <v>0</v>
      </c>
      <c r="H34" s="10">
        <f t="shared" si="6"/>
        <v>0</v>
      </c>
      <c r="I34" s="10">
        <f t="shared" si="6"/>
        <v>0</v>
      </c>
      <c r="J34" s="10">
        <f t="shared" ref="J34" si="7">SUM(J35:J38)</f>
        <v>0</v>
      </c>
      <c r="K34" s="10">
        <f t="shared" si="1"/>
        <v>0</v>
      </c>
    </row>
    <row r="35" spans="1:12" x14ac:dyDescent="0.2">
      <c r="A35" s="27" t="s">
        <v>33</v>
      </c>
      <c r="B35" s="11"/>
      <c r="C35" s="11"/>
      <c r="D35" s="11"/>
      <c r="E35" s="16"/>
      <c r="F35" s="16"/>
      <c r="G35" s="15"/>
      <c r="H35" s="20"/>
      <c r="I35" s="18"/>
      <c r="J35" s="15"/>
      <c r="K35" s="15">
        <f t="shared" si="1"/>
        <v>0</v>
      </c>
    </row>
    <row r="36" spans="1:12" x14ac:dyDescent="0.2">
      <c r="A36" s="27" t="s">
        <v>34</v>
      </c>
      <c r="B36" s="11"/>
      <c r="C36" s="11"/>
      <c r="D36" s="11"/>
      <c r="E36" s="19"/>
      <c r="F36" s="19"/>
      <c r="G36" s="19"/>
      <c r="H36" s="19"/>
      <c r="I36" s="19"/>
      <c r="J36" s="19"/>
      <c r="K36" s="19">
        <f t="shared" si="1"/>
        <v>0</v>
      </c>
    </row>
    <row r="37" spans="1:12" x14ac:dyDescent="0.2">
      <c r="A37" s="27" t="s">
        <v>35</v>
      </c>
      <c r="B37" s="11"/>
      <c r="C37" s="11"/>
      <c r="D37" s="11"/>
      <c r="E37" s="19"/>
      <c r="F37" s="19"/>
      <c r="G37" s="19"/>
      <c r="H37" s="19"/>
      <c r="I37" s="19"/>
      <c r="J37" s="19"/>
      <c r="K37" s="19">
        <f t="shared" si="1"/>
        <v>0</v>
      </c>
    </row>
    <row r="38" spans="1:12" x14ac:dyDescent="0.2">
      <c r="A38" s="27" t="s">
        <v>36</v>
      </c>
      <c r="B38" s="11"/>
      <c r="C38" s="11"/>
      <c r="D38" s="11"/>
      <c r="E38" s="19"/>
      <c r="F38" s="16"/>
      <c r="G38" s="16"/>
      <c r="H38" s="16"/>
      <c r="I38" s="16"/>
      <c r="J38" s="16"/>
      <c r="K38" s="16">
        <f t="shared" si="1"/>
        <v>0</v>
      </c>
    </row>
    <row r="39" spans="1:12" x14ac:dyDescent="0.2">
      <c r="A39" s="28" t="s">
        <v>37</v>
      </c>
      <c r="B39" s="10"/>
      <c r="C39" s="10">
        <v>0</v>
      </c>
      <c r="D39" s="10"/>
      <c r="E39" s="10">
        <f>SUM(E40)</f>
        <v>0</v>
      </c>
      <c r="F39" s="10">
        <f t="shared" ref="F39:J39" si="8">SUM(F40)</f>
        <v>0</v>
      </c>
      <c r="G39" s="10">
        <f t="shared" si="8"/>
        <v>0</v>
      </c>
      <c r="H39" s="10">
        <f t="shared" si="8"/>
        <v>0</v>
      </c>
      <c r="I39" s="10">
        <f t="shared" si="8"/>
        <v>0</v>
      </c>
      <c r="J39" s="10">
        <f t="shared" si="8"/>
        <v>0</v>
      </c>
      <c r="K39" s="10">
        <f t="shared" si="1"/>
        <v>0</v>
      </c>
    </row>
    <row r="40" spans="1:12" x14ac:dyDescent="0.2">
      <c r="A40" s="27" t="s">
        <v>38</v>
      </c>
      <c r="B40" s="11"/>
      <c r="C40" s="11"/>
      <c r="D40" s="11"/>
      <c r="E40" s="16"/>
      <c r="F40" s="16"/>
      <c r="G40" s="15"/>
      <c r="H40" s="20"/>
      <c r="I40" s="20"/>
      <c r="J40" s="18"/>
      <c r="K40" s="18">
        <f t="shared" si="1"/>
        <v>0</v>
      </c>
    </row>
    <row r="41" spans="1:12" x14ac:dyDescent="0.2">
      <c r="A41" s="28" t="s">
        <v>39</v>
      </c>
      <c r="B41" s="10"/>
      <c r="C41" s="10"/>
      <c r="D41" s="10"/>
      <c r="E41" s="10">
        <f>SUM(E42)</f>
        <v>0</v>
      </c>
      <c r="F41" s="10">
        <f t="shared" ref="F41:J41" si="9">SUM(F42)</f>
        <v>0</v>
      </c>
      <c r="G41" s="10">
        <f t="shared" si="9"/>
        <v>0</v>
      </c>
      <c r="H41" s="10">
        <f t="shared" si="9"/>
        <v>0</v>
      </c>
      <c r="I41" s="10">
        <f t="shared" si="9"/>
        <v>0</v>
      </c>
      <c r="J41" s="10">
        <f t="shared" si="9"/>
        <v>0</v>
      </c>
      <c r="K41" s="10">
        <f t="shared" si="1"/>
        <v>0</v>
      </c>
    </row>
    <row r="42" spans="1:12" x14ac:dyDescent="0.2">
      <c r="A42" s="27" t="s">
        <v>40</v>
      </c>
      <c r="B42" s="11"/>
      <c r="C42" s="11"/>
      <c r="D42" s="11"/>
      <c r="E42" s="16"/>
      <c r="F42" s="16"/>
      <c r="G42" s="15"/>
      <c r="H42" s="18"/>
      <c r="I42" s="20"/>
      <c r="J42" s="18"/>
      <c r="K42" s="18">
        <f t="shared" si="1"/>
        <v>0</v>
      </c>
    </row>
    <row r="43" spans="1:12" x14ac:dyDescent="0.2">
      <c r="A43" s="28" t="s">
        <v>41</v>
      </c>
      <c r="B43" s="10">
        <v>62341</v>
      </c>
      <c r="C43" s="10">
        <v>2.63</v>
      </c>
      <c r="D43" s="10">
        <v>11</v>
      </c>
      <c r="E43" s="10">
        <f>SUM(E44:E49)</f>
        <v>0</v>
      </c>
      <c r="F43" s="10">
        <f t="shared" ref="F43:I43" si="10">SUM(F44:F49)</f>
        <v>0</v>
      </c>
      <c r="G43" s="10">
        <f t="shared" si="10"/>
        <v>0</v>
      </c>
      <c r="H43" s="10">
        <f t="shared" si="10"/>
        <v>0</v>
      </c>
      <c r="I43" s="10">
        <f t="shared" si="10"/>
        <v>0</v>
      </c>
      <c r="J43" s="10">
        <f t="shared" ref="J43" si="11">SUM(J44:J49)</f>
        <v>0</v>
      </c>
      <c r="K43" s="10">
        <f t="shared" si="1"/>
        <v>0</v>
      </c>
    </row>
    <row r="44" spans="1:12" x14ac:dyDescent="0.2">
      <c r="A44" s="30" t="s">
        <v>42</v>
      </c>
      <c r="B44" s="21"/>
      <c r="C44" s="21"/>
      <c r="D44" s="21"/>
      <c r="E44" s="19"/>
      <c r="F44" s="19"/>
      <c r="G44" s="19"/>
      <c r="H44" s="19"/>
      <c r="I44" s="19"/>
      <c r="J44" s="19"/>
      <c r="K44" s="19">
        <f t="shared" si="1"/>
        <v>0</v>
      </c>
      <c r="L44" s="2"/>
    </row>
    <row r="45" spans="1:12" x14ac:dyDescent="0.2">
      <c r="A45" s="30" t="s">
        <v>44</v>
      </c>
      <c r="B45" s="21"/>
      <c r="C45" s="21"/>
      <c r="D45" s="21"/>
      <c r="E45" s="22"/>
      <c r="F45" s="19"/>
      <c r="G45" s="19"/>
      <c r="H45" s="19"/>
      <c r="I45" s="19"/>
      <c r="J45" s="23"/>
      <c r="K45" s="23">
        <f t="shared" si="1"/>
        <v>0</v>
      </c>
    </row>
    <row r="46" spans="1:12" x14ac:dyDescent="0.2">
      <c r="A46" s="30" t="s">
        <v>46</v>
      </c>
      <c r="B46" s="21"/>
      <c r="C46" s="21"/>
      <c r="D46" s="21"/>
      <c r="E46" s="19"/>
      <c r="F46" s="19"/>
      <c r="G46" s="19"/>
      <c r="H46" s="19"/>
      <c r="I46" s="19"/>
      <c r="J46" s="19"/>
      <c r="K46" s="19">
        <f t="shared" si="1"/>
        <v>0</v>
      </c>
    </row>
    <row r="47" spans="1:12" x14ac:dyDescent="0.2">
      <c r="A47" s="30" t="s">
        <v>48</v>
      </c>
      <c r="B47" s="21"/>
      <c r="C47" s="21"/>
      <c r="D47" s="21"/>
      <c r="E47" s="19"/>
      <c r="F47" s="19"/>
      <c r="G47" s="19"/>
      <c r="H47" s="19"/>
      <c r="I47" s="19"/>
      <c r="J47" s="19"/>
      <c r="K47" s="19">
        <f t="shared" si="1"/>
        <v>0</v>
      </c>
    </row>
    <row r="48" spans="1:12" x14ac:dyDescent="0.2">
      <c r="A48" s="30" t="s">
        <v>50</v>
      </c>
      <c r="B48" s="21"/>
      <c r="C48" s="21"/>
      <c r="D48" s="21"/>
      <c r="E48" s="19"/>
      <c r="F48" s="19"/>
      <c r="G48" s="19"/>
      <c r="H48" s="19"/>
      <c r="I48" s="19"/>
      <c r="J48" s="19"/>
      <c r="K48" s="19">
        <f t="shared" si="1"/>
        <v>0</v>
      </c>
    </row>
    <row r="49" spans="1:11" x14ac:dyDescent="0.2">
      <c r="A49" s="30" t="s">
        <v>52</v>
      </c>
      <c r="B49" s="21"/>
      <c r="C49" s="21"/>
      <c r="D49" s="21"/>
      <c r="E49" s="19"/>
      <c r="F49" s="19"/>
      <c r="G49" s="19"/>
      <c r="H49" s="19"/>
      <c r="I49" s="19"/>
      <c r="J49" s="19"/>
      <c r="K49" s="19">
        <f t="shared" si="1"/>
        <v>0</v>
      </c>
    </row>
    <row r="50" spans="1:11" x14ac:dyDescent="0.2">
      <c r="A50" s="28" t="s">
        <v>43</v>
      </c>
      <c r="B50" s="10"/>
      <c r="C50" s="10"/>
      <c r="D50" s="10"/>
      <c r="E50" s="10">
        <f>SUM(E51:E54)</f>
        <v>0</v>
      </c>
      <c r="F50" s="10">
        <f t="shared" ref="F50:I50" si="12">SUM(F51:F54)</f>
        <v>0</v>
      </c>
      <c r="G50" s="10">
        <f t="shared" si="12"/>
        <v>315000</v>
      </c>
      <c r="H50" s="10">
        <f t="shared" si="12"/>
        <v>0</v>
      </c>
      <c r="I50" s="10">
        <f t="shared" si="12"/>
        <v>2297460</v>
      </c>
      <c r="J50" s="10">
        <f t="shared" ref="J50" si="13">SUM(J51:J54)</f>
        <v>0</v>
      </c>
      <c r="K50" s="10">
        <f t="shared" si="1"/>
        <v>2612460</v>
      </c>
    </row>
    <row r="51" spans="1:11" x14ac:dyDescent="0.2">
      <c r="A51" s="30" t="s">
        <v>47</v>
      </c>
      <c r="B51" s="21"/>
      <c r="C51" s="21"/>
      <c r="D51" s="21"/>
      <c r="E51" s="19"/>
      <c r="F51" s="19"/>
      <c r="G51" s="19">
        <f>120000+195000</f>
        <v>315000</v>
      </c>
      <c r="H51" s="19"/>
      <c r="I51" s="19">
        <f>96760+619500+1003000</f>
        <v>1719260</v>
      </c>
      <c r="J51" s="19"/>
      <c r="K51" s="19">
        <f t="shared" si="1"/>
        <v>2034260</v>
      </c>
    </row>
    <row r="52" spans="1:11" x14ac:dyDescent="0.2">
      <c r="A52" s="30" t="s">
        <v>45</v>
      </c>
      <c r="B52" s="21"/>
      <c r="C52" s="21"/>
      <c r="D52" s="21"/>
      <c r="E52" s="19"/>
      <c r="F52" s="19"/>
      <c r="G52" s="19"/>
      <c r="H52" s="19"/>
      <c r="I52" s="19"/>
      <c r="J52" s="19"/>
      <c r="K52" s="19">
        <f t="shared" si="1"/>
        <v>0</v>
      </c>
    </row>
    <row r="53" spans="1:11" x14ac:dyDescent="0.2">
      <c r="A53" s="30" t="s">
        <v>49</v>
      </c>
      <c r="B53" s="21"/>
      <c r="C53" s="21"/>
      <c r="D53" s="21"/>
      <c r="E53" s="19"/>
      <c r="F53" s="19"/>
      <c r="G53" s="19"/>
      <c r="H53" s="19"/>
      <c r="I53" s="19">
        <f>578200</f>
        <v>578200</v>
      </c>
      <c r="J53" s="19"/>
      <c r="K53" s="19">
        <f t="shared" si="1"/>
        <v>578200</v>
      </c>
    </row>
    <row r="54" spans="1:11" x14ac:dyDescent="0.2">
      <c r="A54" s="30" t="s">
        <v>51</v>
      </c>
      <c r="B54" s="21"/>
      <c r="C54" s="21"/>
      <c r="D54" s="21"/>
      <c r="E54" s="19"/>
      <c r="F54" s="19"/>
      <c r="G54" s="19"/>
      <c r="H54" s="19"/>
      <c r="I54" s="19"/>
      <c r="J54" s="19"/>
      <c r="K54" s="19">
        <f t="shared" si="1"/>
        <v>0</v>
      </c>
    </row>
    <row r="55" spans="1:11" s="2" customFormat="1" ht="15" x14ac:dyDescent="0.2">
      <c r="A55" s="28" t="s">
        <v>53</v>
      </c>
      <c r="B55" s="11"/>
      <c r="C55" s="11"/>
      <c r="D55" s="11"/>
      <c r="E55" s="10">
        <f>SUM(E56:E67)</f>
        <v>0</v>
      </c>
      <c r="F55" s="10">
        <f t="shared" ref="F55:I55" si="14">SUM(F56:F67)</f>
        <v>0</v>
      </c>
      <c r="G55" s="10">
        <f t="shared" si="14"/>
        <v>1835358</v>
      </c>
      <c r="H55" s="10">
        <f t="shared" si="14"/>
        <v>1242966.8999999999</v>
      </c>
      <c r="I55" s="10">
        <f t="shared" si="14"/>
        <v>25840796</v>
      </c>
      <c r="J55" s="10">
        <f t="shared" ref="J55" si="15">SUM(J56:J67)</f>
        <v>3592086.8</v>
      </c>
      <c r="K55" s="10">
        <f t="shared" si="1"/>
        <v>32511207.699999999</v>
      </c>
    </row>
    <row r="56" spans="1:11" x14ac:dyDescent="0.2">
      <c r="A56" s="27" t="s">
        <v>54</v>
      </c>
      <c r="B56" s="11"/>
      <c r="C56" s="11"/>
      <c r="D56" s="11"/>
      <c r="E56" s="18"/>
      <c r="F56" s="18"/>
      <c r="G56" s="18">
        <f>260610+619500</f>
        <v>880110</v>
      </c>
      <c r="H56" s="18"/>
      <c r="I56" s="18">
        <f>104244+217262+531000+584100+767000+3245000+5900000+9145000</f>
        <v>20493606</v>
      </c>
      <c r="J56" s="18"/>
      <c r="K56" s="18">
        <f t="shared" si="1"/>
        <v>21373716</v>
      </c>
    </row>
    <row r="57" spans="1:11" x14ac:dyDescent="0.2">
      <c r="A57" s="27" t="s">
        <v>55</v>
      </c>
      <c r="B57" s="11"/>
      <c r="C57" s="11"/>
      <c r="D57" s="11"/>
      <c r="E57" s="18"/>
      <c r="F57" s="18"/>
      <c r="G57" s="18"/>
      <c r="H57" s="18"/>
      <c r="I57" s="18"/>
      <c r="J57" s="18"/>
      <c r="K57" s="18">
        <f t="shared" si="1"/>
        <v>0</v>
      </c>
    </row>
    <row r="58" spans="1:11" x14ac:dyDescent="0.2">
      <c r="A58" s="27" t="s">
        <v>56</v>
      </c>
      <c r="B58" s="11"/>
      <c r="C58" s="11"/>
      <c r="D58" s="11"/>
      <c r="E58" s="18"/>
      <c r="F58" s="18"/>
      <c r="G58" s="18"/>
      <c r="H58" s="18"/>
      <c r="I58" s="18"/>
      <c r="J58" s="18"/>
      <c r="K58" s="18">
        <f t="shared" si="1"/>
        <v>0</v>
      </c>
    </row>
    <row r="59" spans="1:11" x14ac:dyDescent="0.2">
      <c r="A59" s="27" t="s">
        <v>57</v>
      </c>
      <c r="B59" s="11"/>
      <c r="C59" s="11"/>
      <c r="D59" s="11"/>
      <c r="E59" s="18"/>
      <c r="F59" s="18"/>
      <c r="G59" s="18"/>
      <c r="H59" s="18"/>
      <c r="I59" s="18">
        <f>383500</f>
        <v>383500</v>
      </c>
      <c r="J59" s="18">
        <f>106021.36+618245.2+89121.9+90698.34</f>
        <v>904086.79999999993</v>
      </c>
      <c r="K59" s="18">
        <f t="shared" si="1"/>
        <v>1287586.7999999998</v>
      </c>
    </row>
    <row r="60" spans="1:11" x14ac:dyDescent="0.2">
      <c r="A60" s="27" t="s">
        <v>58</v>
      </c>
      <c r="B60" s="11"/>
      <c r="C60" s="11"/>
      <c r="D60" s="11"/>
      <c r="E60" s="18"/>
      <c r="F60" s="18"/>
      <c r="G60" s="18"/>
      <c r="H60" s="18"/>
      <c r="I60" s="18"/>
      <c r="J60" s="18"/>
      <c r="K60" s="18">
        <f t="shared" si="1"/>
        <v>0</v>
      </c>
    </row>
    <row r="61" spans="1:11" x14ac:dyDescent="0.2">
      <c r="A61" s="27" t="s">
        <v>59</v>
      </c>
      <c r="B61" s="11"/>
      <c r="C61" s="11"/>
      <c r="D61" s="11"/>
      <c r="E61" s="16"/>
      <c r="F61" s="16"/>
      <c r="G61" s="15"/>
      <c r="H61" s="18"/>
      <c r="I61" s="18"/>
      <c r="J61" s="18"/>
      <c r="K61" s="18">
        <f t="shared" si="1"/>
        <v>0</v>
      </c>
    </row>
    <row r="62" spans="1:11" x14ac:dyDescent="0.2">
      <c r="A62" s="27" t="s">
        <v>60</v>
      </c>
      <c r="B62" s="11"/>
      <c r="C62" s="11"/>
      <c r="D62" s="11"/>
      <c r="E62" s="16"/>
      <c r="F62" s="16"/>
      <c r="G62" s="15"/>
      <c r="H62" s="18"/>
      <c r="I62" s="18"/>
      <c r="J62" s="18"/>
      <c r="K62" s="18">
        <f t="shared" si="1"/>
        <v>0</v>
      </c>
    </row>
    <row r="63" spans="1:11" x14ac:dyDescent="0.2">
      <c r="A63" s="27" t="s">
        <v>61</v>
      </c>
      <c r="B63" s="11"/>
      <c r="C63" s="11"/>
      <c r="D63" s="11"/>
      <c r="E63" s="18"/>
      <c r="F63" s="18"/>
      <c r="G63" s="18"/>
      <c r="H63" s="18"/>
      <c r="I63" s="18">
        <f>4725000</f>
        <v>4725000</v>
      </c>
      <c r="J63" s="18">
        <f>2688000</f>
        <v>2688000</v>
      </c>
      <c r="K63" s="18">
        <f t="shared" si="1"/>
        <v>7413000</v>
      </c>
    </row>
    <row r="64" spans="1:11" x14ac:dyDescent="0.2">
      <c r="A64" s="27" t="s">
        <v>62</v>
      </c>
      <c r="B64" s="11"/>
      <c r="C64" s="11"/>
      <c r="D64" s="11"/>
      <c r="E64" s="16"/>
      <c r="F64" s="16"/>
      <c r="G64" s="16">
        <f>17728</f>
        <v>17728</v>
      </c>
      <c r="H64" s="16"/>
      <c r="I64" s="18">
        <f>105000+120120</f>
        <v>225120</v>
      </c>
      <c r="J64" s="18"/>
      <c r="K64" s="18">
        <f t="shared" si="1"/>
        <v>242848</v>
      </c>
    </row>
    <row r="65" spans="1:11" x14ac:dyDescent="0.2">
      <c r="A65" s="27" t="s">
        <v>63</v>
      </c>
      <c r="B65" s="11"/>
      <c r="C65" s="11"/>
      <c r="D65" s="11"/>
      <c r="E65" s="16"/>
      <c r="F65" s="16"/>
      <c r="G65" s="15">
        <f>165200</f>
        <v>165200</v>
      </c>
      <c r="H65" s="18"/>
      <c r="I65" s="18"/>
      <c r="J65" s="18"/>
      <c r="K65" s="18">
        <f t="shared" si="1"/>
        <v>165200</v>
      </c>
    </row>
    <row r="66" spans="1:11" x14ac:dyDescent="0.2">
      <c r="A66" s="27" t="s">
        <v>64</v>
      </c>
      <c r="B66" s="11"/>
      <c r="C66" s="11"/>
      <c r="D66" s="11"/>
      <c r="E66" s="16"/>
      <c r="F66" s="16"/>
      <c r="G66" s="16">
        <f>42000+525000</f>
        <v>567000</v>
      </c>
      <c r="H66" s="16">
        <f>1242966.9</f>
        <v>1242966.8999999999</v>
      </c>
      <c r="I66" s="18"/>
      <c r="J66" s="18"/>
      <c r="K66" s="18">
        <f t="shared" si="1"/>
        <v>1809966.9</v>
      </c>
    </row>
    <row r="67" spans="1:11" x14ac:dyDescent="0.2">
      <c r="A67" s="27" t="s">
        <v>65</v>
      </c>
      <c r="B67" s="11"/>
      <c r="C67" s="11"/>
      <c r="D67" s="11"/>
      <c r="E67" s="16"/>
      <c r="F67" s="16"/>
      <c r="G67" s="16">
        <f>205320</f>
        <v>205320</v>
      </c>
      <c r="H67" s="18"/>
      <c r="I67" s="18">
        <f>13570</f>
        <v>13570</v>
      </c>
      <c r="J67" s="18"/>
      <c r="K67" s="18">
        <f t="shared" ref="K67:K98" si="16">SUM(E67:J67)</f>
        <v>218890</v>
      </c>
    </row>
    <row r="68" spans="1:11" x14ac:dyDescent="0.2">
      <c r="A68" s="31" t="s">
        <v>66</v>
      </c>
      <c r="B68" s="10"/>
      <c r="C68" s="10"/>
      <c r="D68" s="10"/>
      <c r="E68" s="10">
        <f>SUM(E69:E85)</f>
        <v>0</v>
      </c>
      <c r="F68" s="10">
        <f t="shared" ref="F68:I68" si="17">SUM(F69:F85)</f>
        <v>0</v>
      </c>
      <c r="G68" s="10">
        <f t="shared" si="17"/>
        <v>279087.64</v>
      </c>
      <c r="H68" s="10">
        <f t="shared" si="17"/>
        <v>2656500</v>
      </c>
      <c r="I68" s="10">
        <f t="shared" si="17"/>
        <v>2392393.2800000003</v>
      </c>
      <c r="J68" s="10">
        <f t="shared" ref="J68" si="18">SUM(J69:J85)</f>
        <v>0</v>
      </c>
      <c r="K68" s="10">
        <f t="shared" si="16"/>
        <v>5327980.92</v>
      </c>
    </row>
    <row r="69" spans="1:11" x14ac:dyDescent="0.2">
      <c r="A69" s="29" t="s">
        <v>67</v>
      </c>
      <c r="B69" s="21"/>
      <c r="C69" s="21"/>
      <c r="D69" s="21"/>
      <c r="E69" s="19"/>
      <c r="F69" s="19"/>
      <c r="G69" s="19"/>
      <c r="H69" s="19"/>
      <c r="I69" s="19"/>
      <c r="J69" s="19"/>
      <c r="K69" s="19">
        <f t="shared" si="16"/>
        <v>0</v>
      </c>
    </row>
    <row r="70" spans="1:11" x14ac:dyDescent="0.2">
      <c r="A70" s="29" t="s">
        <v>68</v>
      </c>
      <c r="B70" s="21"/>
      <c r="C70" s="21"/>
      <c r="D70" s="21"/>
      <c r="E70" s="19"/>
      <c r="F70" s="19"/>
      <c r="G70" s="19"/>
      <c r="H70" s="19"/>
      <c r="I70" s="19"/>
      <c r="J70" s="19"/>
      <c r="K70" s="19">
        <f t="shared" si="16"/>
        <v>0</v>
      </c>
    </row>
    <row r="71" spans="1:11" x14ac:dyDescent="0.2">
      <c r="A71" s="29" t="s">
        <v>69</v>
      </c>
      <c r="B71" s="21"/>
      <c r="C71" s="21"/>
      <c r="D71" s="21"/>
      <c r="E71" s="19"/>
      <c r="F71" s="19"/>
      <c r="G71" s="19"/>
      <c r="H71" s="19"/>
      <c r="I71" s="19"/>
      <c r="J71" s="19"/>
      <c r="K71" s="19">
        <f t="shared" si="16"/>
        <v>0</v>
      </c>
    </row>
    <row r="72" spans="1:11" x14ac:dyDescent="0.2">
      <c r="A72" s="29" t="s">
        <v>70</v>
      </c>
      <c r="B72" s="21"/>
      <c r="C72" s="21"/>
      <c r="D72" s="21"/>
      <c r="E72" s="19"/>
      <c r="F72" s="19"/>
      <c r="G72" s="19"/>
      <c r="H72" s="19"/>
      <c r="I72" s="19"/>
      <c r="J72" s="19"/>
      <c r="K72" s="19">
        <f t="shared" si="16"/>
        <v>0</v>
      </c>
    </row>
    <row r="73" spans="1:11" x14ac:dyDescent="0.2">
      <c r="A73" s="29" t="s">
        <v>71</v>
      </c>
      <c r="B73" s="21"/>
      <c r="C73" s="21"/>
      <c r="D73" s="21"/>
      <c r="E73" s="19"/>
      <c r="F73" s="19"/>
      <c r="G73" s="19"/>
      <c r="H73" s="19"/>
      <c r="I73" s="19"/>
      <c r="J73" s="19"/>
      <c r="K73" s="19">
        <f t="shared" si="16"/>
        <v>0</v>
      </c>
    </row>
    <row r="74" spans="1:11" x14ac:dyDescent="0.2">
      <c r="A74" s="29" t="s">
        <v>72</v>
      </c>
      <c r="B74" s="21"/>
      <c r="C74" s="21"/>
      <c r="D74" s="21"/>
      <c r="E74" s="19"/>
      <c r="F74" s="19"/>
      <c r="G74" s="19"/>
      <c r="H74" s="19">
        <f>288750+288750+393750+477750+561750+645750</f>
        <v>2656500</v>
      </c>
      <c r="I74" s="19">
        <f>183750+246750+246750+288750+330750</f>
        <v>1296750</v>
      </c>
      <c r="J74" s="19"/>
      <c r="K74" s="19">
        <f t="shared" si="16"/>
        <v>3953250</v>
      </c>
    </row>
    <row r="75" spans="1:11" x14ac:dyDescent="0.2">
      <c r="A75" s="29" t="s">
        <v>73</v>
      </c>
      <c r="B75" s="21"/>
      <c r="C75" s="21"/>
      <c r="D75" s="21"/>
      <c r="E75" s="19"/>
      <c r="F75" s="19"/>
      <c r="G75" s="19">
        <f>37269+67199.4+83759.24</f>
        <v>188227.64</v>
      </c>
      <c r="H75" s="19"/>
      <c r="I75" s="19">
        <f>29889.62+36580+109740+138539.44+171926+295968.22</f>
        <v>782643.28</v>
      </c>
      <c r="J75" s="19"/>
      <c r="K75" s="19">
        <f t="shared" si="16"/>
        <v>970870.92</v>
      </c>
    </row>
    <row r="76" spans="1:11" x14ac:dyDescent="0.2">
      <c r="A76" s="29" t="s">
        <v>74</v>
      </c>
      <c r="B76" s="21"/>
      <c r="C76" s="21"/>
      <c r="D76" s="21"/>
      <c r="E76" s="19"/>
      <c r="F76" s="19"/>
      <c r="G76" s="19">
        <f>90860</f>
        <v>90860</v>
      </c>
      <c r="H76" s="19"/>
      <c r="I76" s="19">
        <f>18000</f>
        <v>18000</v>
      </c>
      <c r="J76" s="19"/>
      <c r="K76" s="19">
        <f t="shared" si="16"/>
        <v>108860</v>
      </c>
    </row>
    <row r="77" spans="1:11" x14ac:dyDescent="0.2">
      <c r="A77" s="29" t="s">
        <v>75</v>
      </c>
      <c r="B77" s="21"/>
      <c r="C77" s="21"/>
      <c r="D77" s="21"/>
      <c r="E77" s="19"/>
      <c r="F77" s="19"/>
      <c r="G77" s="19"/>
      <c r="H77" s="19"/>
      <c r="I77" s="24"/>
      <c r="J77" s="19"/>
      <c r="K77" s="19">
        <f t="shared" si="16"/>
        <v>0</v>
      </c>
    </row>
    <row r="78" spans="1:11" x14ac:dyDescent="0.2">
      <c r="A78" s="29" t="s">
        <v>76</v>
      </c>
      <c r="B78" s="21"/>
      <c r="C78" s="21"/>
      <c r="D78" s="21"/>
      <c r="E78" s="19"/>
      <c r="F78" s="19"/>
      <c r="G78" s="19"/>
      <c r="H78" s="19"/>
      <c r="I78" s="19">
        <f>295000</f>
        <v>295000</v>
      </c>
      <c r="J78" s="19"/>
      <c r="K78" s="19">
        <f t="shared" si="16"/>
        <v>295000</v>
      </c>
    </row>
    <row r="79" spans="1:11" x14ac:dyDescent="0.2">
      <c r="A79" s="29" t="s">
        <v>62</v>
      </c>
      <c r="B79" s="21"/>
      <c r="C79" s="21"/>
      <c r="D79" s="21"/>
      <c r="E79" s="19"/>
      <c r="F79" s="19"/>
      <c r="G79" s="19"/>
      <c r="H79" s="19"/>
      <c r="I79" s="19"/>
      <c r="J79" s="19"/>
      <c r="K79" s="19">
        <f t="shared" si="16"/>
        <v>0</v>
      </c>
    </row>
    <row r="80" spans="1:11" x14ac:dyDescent="0.2">
      <c r="A80" s="29" t="s">
        <v>77</v>
      </c>
      <c r="B80" s="21"/>
      <c r="C80" s="21"/>
      <c r="D80" s="21"/>
      <c r="E80" s="19"/>
      <c r="F80" s="19"/>
      <c r="G80" s="19"/>
      <c r="H80" s="19"/>
      <c r="I80" s="19"/>
      <c r="J80" s="19"/>
      <c r="K80" s="19">
        <f t="shared" si="16"/>
        <v>0</v>
      </c>
    </row>
    <row r="81" spans="1:11" x14ac:dyDescent="0.2">
      <c r="A81" s="29" t="s">
        <v>78</v>
      </c>
      <c r="B81" s="21"/>
      <c r="C81" s="21"/>
      <c r="D81" s="21"/>
      <c r="E81" s="19"/>
      <c r="F81" s="19"/>
      <c r="G81" s="19"/>
      <c r="H81" s="19"/>
      <c r="I81" s="19"/>
      <c r="J81" s="19"/>
      <c r="K81" s="19">
        <f t="shared" si="16"/>
        <v>0</v>
      </c>
    </row>
    <row r="82" spans="1:11" x14ac:dyDescent="0.2">
      <c r="A82" s="29" t="s">
        <v>79</v>
      </c>
      <c r="B82" s="21"/>
      <c r="C82" s="21"/>
      <c r="D82" s="21"/>
      <c r="E82" s="19"/>
      <c r="F82" s="19"/>
      <c r="G82" s="19"/>
      <c r="H82" s="19"/>
      <c r="I82" s="19"/>
      <c r="J82" s="19"/>
      <c r="K82" s="19">
        <f t="shared" si="16"/>
        <v>0</v>
      </c>
    </row>
    <row r="83" spans="1:11" x14ac:dyDescent="0.2">
      <c r="A83" s="29" t="s">
        <v>80</v>
      </c>
      <c r="B83" s="21"/>
      <c r="C83" s="21"/>
      <c r="D83" s="21"/>
      <c r="E83" s="19"/>
      <c r="F83" s="19"/>
      <c r="G83" s="19"/>
      <c r="H83" s="19"/>
      <c r="I83" s="19"/>
      <c r="J83" s="19"/>
      <c r="K83" s="19">
        <f t="shared" si="16"/>
        <v>0</v>
      </c>
    </row>
    <row r="84" spans="1:11" x14ac:dyDescent="0.2">
      <c r="A84" s="29" t="s">
        <v>81</v>
      </c>
      <c r="B84" s="21"/>
      <c r="C84" s="21"/>
      <c r="D84" s="21"/>
      <c r="E84" s="19"/>
      <c r="F84" s="19"/>
      <c r="G84" s="19"/>
      <c r="H84" s="19"/>
      <c r="I84" s="19"/>
      <c r="J84" s="19"/>
      <c r="K84" s="19">
        <f t="shared" si="16"/>
        <v>0</v>
      </c>
    </row>
    <row r="85" spans="1:11" x14ac:dyDescent="0.2">
      <c r="A85" s="29" t="s">
        <v>82</v>
      </c>
      <c r="B85" s="21"/>
      <c r="C85" s="21"/>
      <c r="D85" s="21"/>
      <c r="E85" s="19"/>
      <c r="F85" s="19"/>
      <c r="G85" s="19"/>
      <c r="H85" s="19"/>
      <c r="I85" s="19"/>
      <c r="J85" s="19"/>
      <c r="K85" s="19">
        <f t="shared" si="16"/>
        <v>0</v>
      </c>
    </row>
    <row r="86" spans="1:11" x14ac:dyDescent="0.2">
      <c r="A86" s="28" t="s">
        <v>83</v>
      </c>
      <c r="B86" s="10"/>
      <c r="C86" s="10"/>
      <c r="D86" s="10"/>
      <c r="E86" s="10">
        <f>SUM(E87)</f>
        <v>0</v>
      </c>
      <c r="F86" s="10">
        <f t="shared" ref="F86:J86" si="19">SUM(F87)</f>
        <v>0</v>
      </c>
      <c r="G86" s="10">
        <f t="shared" si="19"/>
        <v>0</v>
      </c>
      <c r="H86" s="10">
        <f t="shared" si="19"/>
        <v>0</v>
      </c>
      <c r="I86" s="10">
        <f t="shared" si="19"/>
        <v>0</v>
      </c>
      <c r="J86" s="10">
        <f t="shared" si="19"/>
        <v>0</v>
      </c>
      <c r="K86" s="10">
        <f t="shared" si="16"/>
        <v>0</v>
      </c>
    </row>
    <row r="87" spans="1:11" x14ac:dyDescent="0.2">
      <c r="A87" s="29" t="s">
        <v>84</v>
      </c>
      <c r="B87" s="21"/>
      <c r="C87" s="21"/>
      <c r="D87" s="21"/>
      <c r="E87" s="19"/>
      <c r="F87" s="19"/>
      <c r="G87" s="20"/>
      <c r="H87" s="19"/>
      <c r="I87" s="19"/>
      <c r="J87" s="19"/>
      <c r="K87" s="19">
        <f t="shared" si="16"/>
        <v>0</v>
      </c>
    </row>
    <row r="88" spans="1:11" x14ac:dyDescent="0.2">
      <c r="A88" s="31" t="s">
        <v>85</v>
      </c>
      <c r="B88" s="10"/>
      <c r="C88" s="10"/>
      <c r="D88" s="10"/>
      <c r="E88" s="10">
        <f>SUM(E89:E90)</f>
        <v>0</v>
      </c>
      <c r="F88" s="10">
        <f t="shared" ref="F88:I88" si="20">SUM(F89:F90)</f>
        <v>0</v>
      </c>
      <c r="G88" s="10">
        <f t="shared" si="20"/>
        <v>202720</v>
      </c>
      <c r="H88" s="10">
        <f t="shared" si="20"/>
        <v>0</v>
      </c>
      <c r="I88" s="10">
        <f t="shared" si="20"/>
        <v>0</v>
      </c>
      <c r="J88" s="10">
        <f t="shared" ref="J88" si="21">SUM(J89:J90)</f>
        <v>0</v>
      </c>
      <c r="K88" s="10">
        <f t="shared" si="16"/>
        <v>202720</v>
      </c>
    </row>
    <row r="89" spans="1:11" x14ac:dyDescent="0.2">
      <c r="A89" s="29" t="s">
        <v>86</v>
      </c>
      <c r="B89" s="21"/>
      <c r="C89" s="21"/>
      <c r="D89" s="21"/>
      <c r="E89" s="19"/>
      <c r="F89" s="19"/>
      <c r="G89" s="19"/>
      <c r="H89" s="19"/>
      <c r="I89" s="19"/>
      <c r="J89" s="19"/>
      <c r="K89" s="19">
        <f t="shared" si="16"/>
        <v>0</v>
      </c>
    </row>
    <row r="90" spans="1:11" x14ac:dyDescent="0.2">
      <c r="A90" s="29" t="s">
        <v>87</v>
      </c>
      <c r="B90" s="21"/>
      <c r="C90" s="21"/>
      <c r="D90" s="21"/>
      <c r="E90" s="19"/>
      <c r="F90" s="19"/>
      <c r="G90" s="19">
        <f>202720</f>
        <v>202720</v>
      </c>
      <c r="H90" s="20"/>
      <c r="I90" s="17"/>
      <c r="J90" s="19"/>
      <c r="K90" s="19">
        <f t="shared" si="16"/>
        <v>202720</v>
      </c>
    </row>
    <row r="91" spans="1:11" x14ac:dyDescent="0.2">
      <c r="A91" s="28" t="s">
        <v>88</v>
      </c>
      <c r="B91" s="10">
        <v>875767</v>
      </c>
      <c r="C91" s="10">
        <v>35.799999999999997</v>
      </c>
      <c r="D91" s="10">
        <v>20</v>
      </c>
      <c r="E91" s="10">
        <f>SUM(E92:E98)</f>
        <v>0</v>
      </c>
      <c r="F91" s="10">
        <f t="shared" ref="F91:H91" si="22">SUM(F92:F98)</f>
        <v>0</v>
      </c>
      <c r="G91" s="10">
        <f t="shared" si="22"/>
        <v>9897.67</v>
      </c>
      <c r="H91" s="10">
        <f t="shared" si="22"/>
        <v>3532</v>
      </c>
      <c r="I91" s="10">
        <f>SUM(I92:I98)</f>
        <v>69060</v>
      </c>
      <c r="J91" s="10">
        <f t="shared" ref="J91" si="23">SUM(J92:J98)</f>
        <v>6025714</v>
      </c>
      <c r="K91" s="10">
        <f t="shared" si="16"/>
        <v>6108203.6699999999</v>
      </c>
    </row>
    <row r="92" spans="1:11" x14ac:dyDescent="0.2">
      <c r="A92" s="27" t="s">
        <v>89</v>
      </c>
      <c r="B92" s="11"/>
      <c r="C92" s="11"/>
      <c r="D92" s="11"/>
      <c r="E92" s="25"/>
      <c r="F92" s="25"/>
      <c r="G92" s="25"/>
      <c r="H92" s="25"/>
      <c r="I92" s="25">
        <f>15340</f>
        <v>15340</v>
      </c>
      <c r="J92" s="25"/>
      <c r="K92" s="25">
        <f t="shared" si="16"/>
        <v>15340</v>
      </c>
    </row>
    <row r="93" spans="1:11" x14ac:dyDescent="0.2">
      <c r="A93" s="27" t="s">
        <v>90</v>
      </c>
      <c r="B93" s="11"/>
      <c r="C93" s="11"/>
      <c r="D93" s="11"/>
      <c r="E93" s="25"/>
      <c r="F93" s="25"/>
      <c r="G93" s="25"/>
      <c r="H93" s="25"/>
      <c r="I93" s="25">
        <f>5000</f>
        <v>5000</v>
      </c>
      <c r="J93" s="25">
        <f>8000</f>
        <v>8000</v>
      </c>
      <c r="K93" s="25">
        <f t="shared" si="16"/>
        <v>13000</v>
      </c>
    </row>
    <row r="94" spans="1:11" x14ac:dyDescent="0.2">
      <c r="A94" s="27" t="s">
        <v>91</v>
      </c>
      <c r="B94" s="11"/>
      <c r="C94" s="11"/>
      <c r="D94" s="11"/>
      <c r="E94" s="25"/>
      <c r="F94" s="25"/>
      <c r="G94" s="25"/>
      <c r="H94" s="25"/>
      <c r="I94" s="25"/>
      <c r="J94" s="25">
        <f>1307250+745500+3864000</f>
        <v>5916750</v>
      </c>
      <c r="K94" s="25">
        <f t="shared" si="16"/>
        <v>5916750</v>
      </c>
    </row>
    <row r="95" spans="1:11" x14ac:dyDescent="0.2">
      <c r="A95" s="30" t="s">
        <v>92</v>
      </c>
      <c r="B95" s="21"/>
      <c r="C95" s="21"/>
      <c r="D95" s="21"/>
      <c r="E95" s="25"/>
      <c r="F95" s="25"/>
      <c r="G95" s="25"/>
      <c r="H95" s="25"/>
      <c r="I95" s="25"/>
      <c r="J95" s="25"/>
      <c r="K95" s="25">
        <f t="shared" si="16"/>
        <v>0</v>
      </c>
    </row>
    <row r="96" spans="1:11" x14ac:dyDescent="0.2">
      <c r="A96" s="30" t="s">
        <v>93</v>
      </c>
      <c r="B96" s="21"/>
      <c r="C96" s="21"/>
      <c r="D96" s="21"/>
      <c r="E96" s="25"/>
      <c r="F96" s="25"/>
      <c r="G96" s="25"/>
      <c r="H96" s="25"/>
      <c r="I96" s="25"/>
      <c r="J96" s="25">
        <f>9440</f>
        <v>9440</v>
      </c>
      <c r="K96" s="25">
        <f t="shared" si="16"/>
        <v>9440</v>
      </c>
    </row>
    <row r="97" spans="1:12" x14ac:dyDescent="0.2">
      <c r="A97" s="30" t="s">
        <v>94</v>
      </c>
      <c r="B97" s="21"/>
      <c r="C97" s="21"/>
      <c r="D97" s="21"/>
      <c r="E97" s="23"/>
      <c r="F97" s="23"/>
      <c r="G97" s="23">
        <f>786.62+1986.05+7125</f>
        <v>9897.67</v>
      </c>
      <c r="H97" s="23">
        <f>840+1288+1404</f>
        <v>3532</v>
      </c>
      <c r="I97" s="23">
        <f>48720</f>
        <v>48720</v>
      </c>
      <c r="J97" s="23">
        <f>90624+900</f>
        <v>91524</v>
      </c>
      <c r="K97" s="23">
        <f t="shared" si="16"/>
        <v>153673.66999999998</v>
      </c>
    </row>
    <row r="98" spans="1:12" x14ac:dyDescent="0.2">
      <c r="A98" s="30" t="s">
        <v>95</v>
      </c>
      <c r="B98" s="21"/>
      <c r="C98" s="21"/>
      <c r="D98" s="21"/>
      <c r="E98" s="23"/>
      <c r="F98" s="23"/>
      <c r="G98" s="23"/>
      <c r="H98" s="23"/>
      <c r="I98" s="23"/>
      <c r="J98" s="23"/>
      <c r="K98" s="23">
        <f t="shared" si="16"/>
        <v>0</v>
      </c>
    </row>
    <row r="99" spans="1:12" ht="14.25" customHeight="1" thickBot="1" x14ac:dyDescent="0.25">
      <c r="A99" s="32" t="s">
        <v>96</v>
      </c>
      <c r="B99" s="33"/>
      <c r="C99" s="33"/>
      <c r="D99" s="33"/>
      <c r="E99" s="34">
        <f>SUM(E91,E88,E86,E68,E55,E50,E43,E41,E39,E34,E27,E17,E15,E8,E4)</f>
        <v>856000</v>
      </c>
      <c r="F99" s="34">
        <f t="shared" ref="F99:J99" si="24">SUM(F91,F88,F86,F68,F55,F50,F43,F41,F39,F34,F27,F17,F15,F8,F4)</f>
        <v>0</v>
      </c>
      <c r="G99" s="34">
        <f t="shared" si="24"/>
        <v>2642063.31</v>
      </c>
      <c r="H99" s="34">
        <f t="shared" si="24"/>
        <v>3902998.9</v>
      </c>
      <c r="I99" s="34">
        <f t="shared" si="24"/>
        <v>33689387.060000002</v>
      </c>
      <c r="J99" s="34">
        <f t="shared" si="24"/>
        <v>19652110.899999999</v>
      </c>
      <c r="K99" s="34">
        <f>SUM(E99:J99)</f>
        <v>60742560.170000002</v>
      </c>
      <c r="L99"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5B38-1147-2340-AA91-58A850BC8631}">
  <dimension ref="A1:L99"/>
  <sheetViews>
    <sheetView topLeftCell="A7" zoomScale="91" workbookViewId="0">
      <selection activeCell="A36" sqref="A36:XFD36"/>
    </sheetView>
  </sheetViews>
  <sheetFormatPr baseColWidth="10" defaultColWidth="8.83203125" defaultRowHeight="16" x14ac:dyDescent="0.2"/>
  <cols>
    <col min="1" max="1" width="68.1640625" style="4" customWidth="1"/>
    <col min="2" max="2" width="24.6640625" style="4" hidden="1" customWidth="1"/>
    <col min="3" max="3" width="23.1640625" style="4" hidden="1" customWidth="1"/>
    <col min="4" max="4" width="21" style="4" hidden="1" customWidth="1"/>
    <col min="5" max="5" width="12.5" style="5" customWidth="1"/>
    <col min="6" max="6" width="15" style="5" customWidth="1"/>
    <col min="7" max="7" width="16" customWidth="1"/>
    <col min="8" max="8" width="17.5" bestFit="1" customWidth="1"/>
    <col min="9" max="9" width="18.1640625" customWidth="1"/>
    <col min="10" max="10" width="17.83203125" bestFit="1" customWidth="1"/>
    <col min="11" max="11" width="14.6640625" customWidth="1"/>
    <col min="12" max="12" width="13.1640625" customWidth="1"/>
  </cols>
  <sheetData>
    <row r="1" spans="1:11" ht="23" thickBot="1" x14ac:dyDescent="0.25">
      <c r="A1" s="155" t="s">
        <v>108</v>
      </c>
      <c r="B1" s="156"/>
      <c r="C1" s="156"/>
      <c r="D1" s="156"/>
      <c r="E1" s="156"/>
      <c r="F1" s="156"/>
      <c r="G1" s="156"/>
      <c r="H1" s="156"/>
      <c r="I1" s="156"/>
      <c r="J1" s="156"/>
      <c r="K1" s="156"/>
    </row>
    <row r="2" spans="1:11" ht="35.25" customHeight="1" x14ac:dyDescent="0.2">
      <c r="A2" s="26" t="s">
        <v>0</v>
      </c>
      <c r="B2" s="6"/>
      <c r="C2" s="6"/>
      <c r="D2" s="6"/>
      <c r="E2" s="7" t="s">
        <v>107</v>
      </c>
      <c r="F2" s="35" t="s">
        <v>126</v>
      </c>
      <c r="G2" s="35" t="s">
        <v>127</v>
      </c>
      <c r="H2" s="35" t="s">
        <v>129</v>
      </c>
      <c r="I2" s="35" t="s">
        <v>128</v>
      </c>
      <c r="J2" s="35" t="s">
        <v>130</v>
      </c>
      <c r="K2" s="143" t="s">
        <v>116</v>
      </c>
    </row>
    <row r="3" spans="1:11" x14ac:dyDescent="0.2">
      <c r="A3" s="27"/>
      <c r="B3" s="8"/>
      <c r="C3" s="8"/>
      <c r="D3" s="8"/>
      <c r="E3" s="9"/>
      <c r="F3" s="9"/>
      <c r="G3" s="9"/>
      <c r="H3" s="9"/>
      <c r="I3" s="9"/>
      <c r="J3" s="9"/>
      <c r="K3" s="9"/>
    </row>
    <row r="4" spans="1:11" x14ac:dyDescent="0.2">
      <c r="A4" s="28" t="s">
        <v>2</v>
      </c>
      <c r="B4" s="10">
        <v>725167</v>
      </c>
      <c r="C4" s="10">
        <v>31.1</v>
      </c>
      <c r="D4" s="10">
        <v>11</v>
      </c>
      <c r="E4" s="10">
        <f>SUM(E5:E7)</f>
        <v>861400</v>
      </c>
      <c r="F4" s="10">
        <f t="shared" ref="F4:J4" si="0">SUM(F5:F7)</f>
        <v>0</v>
      </c>
      <c r="G4" s="10">
        <f t="shared" si="0"/>
        <v>0</v>
      </c>
      <c r="H4" s="10">
        <f t="shared" si="0"/>
        <v>0</v>
      </c>
      <c r="I4" s="10">
        <f t="shared" si="0"/>
        <v>0</v>
      </c>
      <c r="J4" s="10">
        <f t="shared" si="0"/>
        <v>0</v>
      </c>
      <c r="K4" s="10">
        <f t="shared" ref="K4:K67" si="1">SUM(E4:J4)</f>
        <v>861400</v>
      </c>
    </row>
    <row r="5" spans="1:11" x14ac:dyDescent="0.2">
      <c r="A5" s="27" t="s">
        <v>3</v>
      </c>
      <c r="B5" s="11"/>
      <c r="C5" s="11"/>
      <c r="D5" s="11"/>
      <c r="E5" s="12">
        <v>590000</v>
      </c>
      <c r="F5" s="12"/>
      <c r="G5" s="12"/>
      <c r="H5" s="12"/>
      <c r="I5" s="12"/>
      <c r="J5" s="12"/>
      <c r="K5" s="12">
        <f t="shared" si="1"/>
        <v>590000</v>
      </c>
    </row>
    <row r="6" spans="1:11" x14ac:dyDescent="0.2">
      <c r="A6" s="27" t="s">
        <v>4</v>
      </c>
      <c r="B6" s="11"/>
      <c r="C6" s="11"/>
      <c r="D6" s="11"/>
      <c r="E6" s="12">
        <v>236000</v>
      </c>
      <c r="F6" s="12"/>
      <c r="G6" s="12"/>
      <c r="H6" s="12"/>
      <c r="I6" s="12"/>
      <c r="J6" s="12"/>
      <c r="K6" s="12">
        <f t="shared" si="1"/>
        <v>236000</v>
      </c>
    </row>
    <row r="7" spans="1:11" x14ac:dyDescent="0.2">
      <c r="A7" s="27" t="s">
        <v>5</v>
      </c>
      <c r="B7" s="11"/>
      <c r="C7" s="11"/>
      <c r="D7" s="11"/>
      <c r="E7" s="13">
        <v>35400</v>
      </c>
      <c r="F7" s="13"/>
      <c r="G7" s="170"/>
      <c r="H7" s="13"/>
      <c r="I7" s="13"/>
      <c r="J7" s="13"/>
      <c r="K7" s="13">
        <f t="shared" si="1"/>
        <v>35400</v>
      </c>
    </row>
    <row r="8" spans="1:11" x14ac:dyDescent="0.2">
      <c r="A8" s="28" t="s">
        <v>6</v>
      </c>
      <c r="B8" s="10"/>
      <c r="C8" s="10"/>
      <c r="D8" s="10">
        <v>9</v>
      </c>
      <c r="E8" s="10">
        <f>SUM(E9:E14)</f>
        <v>0</v>
      </c>
      <c r="F8" s="10">
        <f t="shared" ref="F8:J8" si="2">SUM(F9:F14)</f>
        <v>0</v>
      </c>
      <c r="G8" s="10">
        <f t="shared" si="2"/>
        <v>1209500</v>
      </c>
      <c r="H8" s="10">
        <f t="shared" si="2"/>
        <v>0</v>
      </c>
      <c r="I8" s="10">
        <f t="shared" si="2"/>
        <v>1447000</v>
      </c>
      <c r="J8" s="10">
        <f t="shared" si="2"/>
        <v>0</v>
      </c>
      <c r="K8" s="10">
        <f t="shared" si="1"/>
        <v>2656500</v>
      </c>
    </row>
    <row r="9" spans="1:11" x14ac:dyDescent="0.2">
      <c r="A9" s="27" t="s">
        <v>7</v>
      </c>
      <c r="B9" s="11"/>
      <c r="C9" s="11"/>
      <c r="D9" s="11"/>
      <c r="E9" s="13"/>
      <c r="F9" s="13"/>
      <c r="G9" s="13"/>
      <c r="H9" s="13"/>
      <c r="I9" s="13"/>
      <c r="J9" s="13"/>
      <c r="K9" s="13">
        <f t="shared" si="1"/>
        <v>0</v>
      </c>
    </row>
    <row r="10" spans="1:11" x14ac:dyDescent="0.2">
      <c r="A10" s="27" t="s">
        <v>8</v>
      </c>
      <c r="B10" s="11"/>
      <c r="C10" s="11"/>
      <c r="D10" s="11"/>
      <c r="E10" s="13"/>
      <c r="F10" s="13"/>
      <c r="G10" s="13"/>
      <c r="H10" s="13"/>
      <c r="I10" s="13"/>
      <c r="J10" s="13"/>
      <c r="K10" s="13">
        <f t="shared" si="1"/>
        <v>0</v>
      </c>
    </row>
    <row r="11" spans="1:11" x14ac:dyDescent="0.2">
      <c r="A11" s="27" t="s">
        <v>9</v>
      </c>
      <c r="B11" s="11"/>
      <c r="C11" s="11"/>
      <c r="D11" s="11"/>
      <c r="E11" s="13"/>
      <c r="F11" s="13"/>
      <c r="G11">
        <v>17700</v>
      </c>
      <c r="H11" s="13"/>
      <c r="I11">
        <v>1447000</v>
      </c>
      <c r="J11" s="13"/>
      <c r="K11" s="13">
        <f t="shared" si="1"/>
        <v>1464700</v>
      </c>
    </row>
    <row r="12" spans="1:11" x14ac:dyDescent="0.2">
      <c r="A12" s="27" t="s">
        <v>10</v>
      </c>
      <c r="B12" s="11"/>
      <c r="C12" s="11"/>
      <c r="D12" s="11"/>
      <c r="E12" s="13"/>
      <c r="F12" s="13"/>
      <c r="G12" s="173">
        <v>200600</v>
      </c>
      <c r="H12" s="13"/>
      <c r="I12" s="13"/>
      <c r="J12" s="13"/>
      <c r="K12" s="13">
        <f t="shared" si="1"/>
        <v>200600</v>
      </c>
    </row>
    <row r="13" spans="1:11" x14ac:dyDescent="0.2">
      <c r="A13" s="27" t="s">
        <v>11</v>
      </c>
      <c r="B13" s="11"/>
      <c r="C13" s="11"/>
      <c r="D13" s="11"/>
      <c r="E13" s="13"/>
      <c r="F13" s="13"/>
      <c r="G13" s="13"/>
      <c r="H13" s="13"/>
      <c r="I13" s="13"/>
      <c r="J13" s="13"/>
      <c r="K13" s="13">
        <f t="shared" si="1"/>
        <v>0</v>
      </c>
    </row>
    <row r="14" spans="1:11" x14ac:dyDescent="0.2">
      <c r="A14" s="27" t="s">
        <v>12</v>
      </c>
      <c r="B14" s="11"/>
      <c r="C14" s="11"/>
      <c r="D14" s="11"/>
      <c r="E14" s="13"/>
      <c r="F14" s="13"/>
      <c r="G14" s="13">
        <f>198240+254880+538080</f>
        <v>991200</v>
      </c>
      <c r="H14" s="13"/>
      <c r="I14" s="13"/>
      <c r="J14" s="13"/>
      <c r="K14" s="13">
        <f t="shared" si="1"/>
        <v>991200</v>
      </c>
    </row>
    <row r="15" spans="1:11" x14ac:dyDescent="0.2">
      <c r="A15" s="28" t="s">
        <v>13</v>
      </c>
      <c r="B15" s="10">
        <v>724989</v>
      </c>
      <c r="C15" s="10">
        <v>29.55</v>
      </c>
      <c r="D15" s="10">
        <v>16</v>
      </c>
      <c r="E15" s="10">
        <f>SUM(E16)</f>
        <v>0</v>
      </c>
      <c r="F15" s="10">
        <f t="shared" ref="F15:H15" si="3">SUM(F16)</f>
        <v>0</v>
      </c>
      <c r="G15" s="10">
        <f t="shared" si="3"/>
        <v>0</v>
      </c>
      <c r="H15" s="10">
        <f t="shared" si="3"/>
        <v>0</v>
      </c>
      <c r="I15" s="10">
        <f>SUM(I16)</f>
        <v>0</v>
      </c>
      <c r="J15" s="10">
        <f>SUM(J16)</f>
        <v>0</v>
      </c>
      <c r="K15" s="10">
        <f t="shared" si="1"/>
        <v>0</v>
      </c>
    </row>
    <row r="16" spans="1:11" x14ac:dyDescent="0.2">
      <c r="A16" s="27" t="s">
        <v>14</v>
      </c>
      <c r="B16" s="11"/>
      <c r="C16" s="11"/>
      <c r="D16" s="11"/>
      <c r="E16" s="169"/>
      <c r="F16" s="169"/>
      <c r="G16" s="169"/>
      <c r="H16" s="169"/>
      <c r="J16" s="169"/>
      <c r="K16" s="14">
        <f t="shared" si="1"/>
        <v>0</v>
      </c>
    </row>
    <row r="17" spans="1:11" x14ac:dyDescent="0.2">
      <c r="A17" s="28" t="s">
        <v>15</v>
      </c>
      <c r="B17" s="10"/>
      <c r="C17" s="10">
        <v>0</v>
      </c>
      <c r="D17" s="10">
        <v>16</v>
      </c>
      <c r="E17" s="10">
        <f>SUM(E18:E26)</f>
        <v>0</v>
      </c>
      <c r="F17" s="10">
        <f t="shared" ref="F17:J17" si="4">SUM(F18:F26)</f>
        <v>0</v>
      </c>
      <c r="G17" s="10">
        <f t="shared" si="4"/>
        <v>0</v>
      </c>
      <c r="H17" s="10">
        <f t="shared" si="4"/>
        <v>0</v>
      </c>
      <c r="I17" s="10">
        <f t="shared" si="4"/>
        <v>0</v>
      </c>
      <c r="J17" s="10">
        <f t="shared" si="4"/>
        <v>0</v>
      </c>
      <c r="K17" s="10">
        <f t="shared" si="1"/>
        <v>0</v>
      </c>
    </row>
    <row r="18" spans="1:11" x14ac:dyDescent="0.2">
      <c r="A18" s="27" t="s">
        <v>16</v>
      </c>
      <c r="B18" s="11"/>
      <c r="C18" s="11"/>
      <c r="D18" s="11"/>
      <c r="E18" s="169"/>
      <c r="F18" s="169"/>
      <c r="G18" s="169"/>
      <c r="H18" s="169"/>
      <c r="I18" s="169"/>
      <c r="J18" s="169"/>
      <c r="K18" s="14">
        <f t="shared" si="1"/>
        <v>0</v>
      </c>
    </row>
    <row r="19" spans="1:11" x14ac:dyDescent="0.2">
      <c r="A19" s="27" t="s">
        <v>17</v>
      </c>
      <c r="B19" s="11"/>
      <c r="C19" s="11"/>
      <c r="D19" s="11"/>
      <c r="E19" s="169"/>
      <c r="F19" s="169"/>
      <c r="G19" s="169"/>
      <c r="H19" s="169"/>
      <c r="I19" s="169"/>
      <c r="J19" s="169"/>
      <c r="K19" s="14">
        <f t="shared" si="1"/>
        <v>0</v>
      </c>
    </row>
    <row r="20" spans="1:11" x14ac:dyDescent="0.2">
      <c r="A20" s="27" t="s">
        <v>18</v>
      </c>
      <c r="B20" s="11"/>
      <c r="C20" s="11"/>
      <c r="D20" s="11"/>
      <c r="E20" s="169"/>
      <c r="F20" s="169"/>
      <c r="G20" s="169"/>
      <c r="H20" s="169"/>
      <c r="I20" s="169"/>
      <c r="J20" s="169"/>
      <c r="K20" s="14">
        <f t="shared" si="1"/>
        <v>0</v>
      </c>
    </row>
    <row r="21" spans="1:11" x14ac:dyDescent="0.2">
      <c r="A21" s="27" t="s">
        <v>19</v>
      </c>
      <c r="B21" s="11"/>
      <c r="C21" s="11"/>
      <c r="D21" s="11"/>
      <c r="E21" s="169"/>
      <c r="F21" s="169"/>
      <c r="G21" s="169"/>
      <c r="H21" s="169"/>
      <c r="I21" s="169"/>
      <c r="J21" s="169"/>
      <c r="K21" s="14">
        <f t="shared" si="1"/>
        <v>0</v>
      </c>
    </row>
    <row r="22" spans="1:11" x14ac:dyDescent="0.2">
      <c r="A22" s="29" t="s">
        <v>20</v>
      </c>
      <c r="B22" s="11"/>
      <c r="C22" s="11"/>
      <c r="D22" s="11"/>
      <c r="E22" s="169"/>
      <c r="F22" s="169"/>
      <c r="G22" s="169"/>
      <c r="H22" s="169"/>
      <c r="I22" s="169"/>
      <c r="J22" s="169"/>
      <c r="K22" s="14">
        <f t="shared" si="1"/>
        <v>0</v>
      </c>
    </row>
    <row r="23" spans="1:11" x14ac:dyDescent="0.2">
      <c r="A23" s="29" t="s">
        <v>21</v>
      </c>
      <c r="B23" s="11"/>
      <c r="C23" s="11"/>
      <c r="D23" s="11"/>
      <c r="E23" s="169"/>
      <c r="F23" s="169"/>
      <c r="G23" s="169"/>
      <c r="H23" s="169"/>
      <c r="I23" s="169"/>
      <c r="J23" s="169"/>
      <c r="K23" s="14">
        <f t="shared" si="1"/>
        <v>0</v>
      </c>
    </row>
    <row r="24" spans="1:11" x14ac:dyDescent="0.2">
      <c r="A24" s="29" t="s">
        <v>22</v>
      </c>
      <c r="B24" s="11"/>
      <c r="C24" s="11"/>
      <c r="D24" s="11"/>
      <c r="E24" s="169"/>
      <c r="F24" s="169"/>
      <c r="G24" s="169"/>
      <c r="H24" s="169"/>
      <c r="I24" s="169"/>
      <c r="J24" s="169"/>
      <c r="K24" s="14">
        <f t="shared" si="1"/>
        <v>0</v>
      </c>
    </row>
    <row r="25" spans="1:11" x14ac:dyDescent="0.2">
      <c r="A25" s="29" t="s">
        <v>23</v>
      </c>
      <c r="B25" s="11"/>
      <c r="C25" s="11"/>
      <c r="D25" s="11"/>
      <c r="E25" s="169"/>
      <c r="F25" s="169"/>
      <c r="G25" s="169"/>
      <c r="H25" s="169"/>
      <c r="I25" s="169"/>
      <c r="J25" s="169"/>
      <c r="K25" s="14">
        <f t="shared" si="1"/>
        <v>0</v>
      </c>
    </row>
    <row r="26" spans="1:11" x14ac:dyDescent="0.2">
      <c r="A26" s="27" t="s">
        <v>24</v>
      </c>
      <c r="B26" s="11"/>
      <c r="C26" s="11"/>
      <c r="D26" s="11"/>
      <c r="E26" s="169"/>
      <c r="F26" s="169"/>
      <c r="G26" s="169"/>
      <c r="H26" s="169"/>
      <c r="I26" s="169"/>
      <c r="J26" s="169"/>
      <c r="K26" s="14">
        <f t="shared" si="1"/>
        <v>0</v>
      </c>
    </row>
    <row r="27" spans="1:11" x14ac:dyDescent="0.2">
      <c r="A27" s="28" t="s">
        <v>25</v>
      </c>
      <c r="B27" s="10">
        <v>24017</v>
      </c>
      <c r="C27" s="10">
        <v>0.9</v>
      </c>
      <c r="D27" s="10">
        <v>1</v>
      </c>
      <c r="E27" s="10">
        <f>SUM(E28:E33)</f>
        <v>0</v>
      </c>
      <c r="F27" s="10">
        <f t="shared" ref="F27:J27" si="5">SUM(F28:F33)</f>
        <v>0</v>
      </c>
      <c r="G27" s="10">
        <f t="shared" si="5"/>
        <v>334766</v>
      </c>
      <c r="H27" s="10">
        <f t="shared" si="5"/>
        <v>0</v>
      </c>
      <c r="I27" s="10">
        <f t="shared" si="5"/>
        <v>0</v>
      </c>
      <c r="J27" s="10">
        <f t="shared" si="5"/>
        <v>0</v>
      </c>
      <c r="K27" s="10">
        <f t="shared" si="1"/>
        <v>334766</v>
      </c>
    </row>
    <row r="28" spans="1:11" x14ac:dyDescent="0.2">
      <c r="A28" s="27" t="s">
        <v>26</v>
      </c>
      <c r="B28" s="11"/>
      <c r="C28" s="11"/>
      <c r="D28" s="11"/>
      <c r="E28" s="15"/>
      <c r="F28" s="16"/>
      <c r="G28" s="15"/>
      <c r="H28" s="17"/>
      <c r="I28" s="18"/>
      <c r="J28" s="19"/>
      <c r="K28" s="19">
        <f t="shared" si="1"/>
        <v>0</v>
      </c>
    </row>
    <row r="29" spans="1:11" x14ac:dyDescent="0.2">
      <c r="A29" s="27" t="s">
        <v>27</v>
      </c>
      <c r="B29" s="11"/>
      <c r="C29" s="11"/>
      <c r="D29" s="11"/>
      <c r="E29" s="16"/>
      <c r="F29" s="16"/>
      <c r="G29" s="15"/>
      <c r="H29" s="16"/>
      <c r="I29" s="19"/>
      <c r="J29" s="19"/>
      <c r="K29" s="19">
        <f t="shared" si="1"/>
        <v>0</v>
      </c>
    </row>
    <row r="30" spans="1:11" x14ac:dyDescent="0.2">
      <c r="A30" s="27" t="s">
        <v>28</v>
      </c>
      <c r="B30" s="11"/>
      <c r="C30" s="11"/>
      <c r="D30" s="11"/>
      <c r="E30" s="16"/>
      <c r="F30" s="16"/>
      <c r="G30" s="15"/>
      <c r="H30" s="16"/>
      <c r="I30" s="19"/>
      <c r="J30" s="19"/>
      <c r="K30" s="19">
        <f t="shared" si="1"/>
        <v>0</v>
      </c>
    </row>
    <row r="31" spans="1:11" x14ac:dyDescent="0.2">
      <c r="A31" s="27" t="s">
        <v>29</v>
      </c>
      <c r="B31" s="11"/>
      <c r="C31" s="11"/>
      <c r="D31" s="11"/>
      <c r="E31" s="16"/>
      <c r="F31" s="16"/>
      <c r="G31" s="15">
        <f>62540+172280</f>
        <v>234820</v>
      </c>
      <c r="H31" s="17"/>
      <c r="I31" s="18"/>
      <c r="J31" s="19"/>
      <c r="K31" s="19">
        <f t="shared" si="1"/>
        <v>234820</v>
      </c>
    </row>
    <row r="32" spans="1:11" x14ac:dyDescent="0.2">
      <c r="A32" s="30" t="s">
        <v>30</v>
      </c>
      <c r="B32" s="11"/>
      <c r="C32" s="11"/>
      <c r="D32" s="11"/>
      <c r="E32" s="16"/>
      <c r="F32" s="16"/>
      <c r="G32" s="15">
        <v>99946</v>
      </c>
      <c r="H32" s="18"/>
      <c r="I32" s="19"/>
      <c r="J32" s="19"/>
      <c r="K32" s="19">
        <f t="shared" si="1"/>
        <v>99946</v>
      </c>
    </row>
    <row r="33" spans="1:12" x14ac:dyDescent="0.2">
      <c r="A33" s="27" t="s">
        <v>31</v>
      </c>
      <c r="B33" s="11"/>
      <c r="C33" s="11"/>
      <c r="D33" s="11"/>
      <c r="E33" s="16"/>
      <c r="F33" s="16"/>
      <c r="G33" s="15"/>
      <c r="H33" s="17"/>
      <c r="I33" s="18"/>
      <c r="J33" s="19"/>
      <c r="K33" s="19">
        <f t="shared" si="1"/>
        <v>0</v>
      </c>
    </row>
    <row r="34" spans="1:12" x14ac:dyDescent="0.2">
      <c r="A34" s="28" t="s">
        <v>32</v>
      </c>
      <c r="B34" s="10"/>
      <c r="C34" s="10">
        <v>0</v>
      </c>
      <c r="D34" s="10">
        <v>14</v>
      </c>
      <c r="E34" s="10">
        <f>SUM(E35:E38)</f>
        <v>0</v>
      </c>
      <c r="F34" s="10">
        <f t="shared" ref="F34:J34" si="6">SUM(F35:F38)</f>
        <v>0</v>
      </c>
      <c r="G34" s="10">
        <f t="shared" si="6"/>
        <v>0</v>
      </c>
      <c r="H34" s="10">
        <f t="shared" si="6"/>
        <v>0</v>
      </c>
      <c r="I34" s="10">
        <f t="shared" si="6"/>
        <v>0</v>
      </c>
      <c r="J34" s="10">
        <f t="shared" si="6"/>
        <v>955859</v>
      </c>
      <c r="K34" s="10">
        <f t="shared" si="1"/>
        <v>955859</v>
      </c>
    </row>
    <row r="35" spans="1:12" x14ac:dyDescent="0.2">
      <c r="A35" s="27" t="s">
        <v>33</v>
      </c>
      <c r="B35" s="11"/>
      <c r="C35" s="11"/>
      <c r="D35" s="11"/>
      <c r="E35" s="16"/>
      <c r="F35" s="16"/>
      <c r="G35" s="15"/>
      <c r="H35" s="20"/>
      <c r="I35" s="18"/>
      <c r="J35" s="15"/>
      <c r="K35" s="15">
        <f t="shared" si="1"/>
        <v>0</v>
      </c>
    </row>
    <row r="36" spans="1:12" x14ac:dyDescent="0.2">
      <c r="A36" s="27" t="s">
        <v>34</v>
      </c>
      <c r="B36" s="11"/>
      <c r="C36" s="11"/>
      <c r="D36" s="11"/>
      <c r="E36" s="19"/>
      <c r="F36" s="19"/>
      <c r="G36" s="19"/>
      <c r="H36" s="19"/>
      <c r="J36" s="19">
        <v>944000</v>
      </c>
      <c r="K36" s="19">
        <f t="shared" si="1"/>
        <v>944000</v>
      </c>
    </row>
    <row r="37" spans="1:12" x14ac:dyDescent="0.2">
      <c r="A37" s="27" t="s">
        <v>35</v>
      </c>
      <c r="B37" s="11"/>
      <c r="C37" s="11"/>
      <c r="D37" s="11"/>
      <c r="E37" s="19"/>
      <c r="F37" s="19"/>
      <c r="G37" s="19"/>
      <c r="H37" s="19"/>
      <c r="I37" s="19"/>
      <c r="J37" s="19"/>
      <c r="K37" s="19">
        <f t="shared" si="1"/>
        <v>0</v>
      </c>
    </row>
    <row r="38" spans="1:12" x14ac:dyDescent="0.2">
      <c r="A38" s="27" t="s">
        <v>36</v>
      </c>
      <c r="B38" s="11"/>
      <c r="C38" s="11"/>
      <c r="D38" s="11"/>
      <c r="E38" s="19"/>
      <c r="F38" s="16"/>
      <c r="G38" s="16"/>
      <c r="H38" s="16"/>
      <c r="I38" s="16"/>
      <c r="J38" s="16">
        <f>2183+9676</f>
        <v>11859</v>
      </c>
      <c r="K38" s="16">
        <f t="shared" si="1"/>
        <v>11859</v>
      </c>
    </row>
    <row r="39" spans="1:12" x14ac:dyDescent="0.2">
      <c r="A39" s="28" t="s">
        <v>37</v>
      </c>
      <c r="B39" s="10"/>
      <c r="C39" s="10">
        <v>0</v>
      </c>
      <c r="D39" s="10"/>
      <c r="E39" s="10">
        <f>SUM(E40)</f>
        <v>0</v>
      </c>
      <c r="F39" s="10">
        <f t="shared" ref="F39:J39" si="7">SUM(F40)</f>
        <v>0</v>
      </c>
      <c r="G39" s="10">
        <f t="shared" si="7"/>
        <v>0</v>
      </c>
      <c r="H39" s="10">
        <f t="shared" si="7"/>
        <v>0</v>
      </c>
      <c r="I39" s="10">
        <f t="shared" si="7"/>
        <v>0</v>
      </c>
      <c r="J39" s="10">
        <f t="shared" si="7"/>
        <v>0</v>
      </c>
      <c r="K39" s="10">
        <f t="shared" si="1"/>
        <v>0</v>
      </c>
    </row>
    <row r="40" spans="1:12" x14ac:dyDescent="0.2">
      <c r="A40" s="27" t="s">
        <v>38</v>
      </c>
      <c r="B40" s="11"/>
      <c r="C40" s="11"/>
      <c r="D40" s="11"/>
      <c r="E40" s="16"/>
      <c r="F40" s="16"/>
      <c r="G40" s="15"/>
      <c r="H40" s="20"/>
      <c r="I40" s="20"/>
      <c r="J40" s="18"/>
      <c r="K40" s="18">
        <f t="shared" si="1"/>
        <v>0</v>
      </c>
    </row>
    <row r="41" spans="1:12" x14ac:dyDescent="0.2">
      <c r="A41" s="28" t="s">
        <v>39</v>
      </c>
      <c r="B41" s="10"/>
      <c r="C41" s="10"/>
      <c r="D41" s="10"/>
      <c r="E41" s="10">
        <f>SUM(E42)</f>
        <v>0</v>
      </c>
      <c r="F41" s="10">
        <f t="shared" ref="F41:J41" si="8">SUM(F42)</f>
        <v>0</v>
      </c>
      <c r="G41" s="10">
        <f t="shared" si="8"/>
        <v>0</v>
      </c>
      <c r="H41" s="10">
        <f t="shared" si="8"/>
        <v>0</v>
      </c>
      <c r="I41" s="10">
        <f t="shared" si="8"/>
        <v>0</v>
      </c>
      <c r="J41" s="10">
        <f t="shared" si="8"/>
        <v>0</v>
      </c>
      <c r="K41" s="10">
        <f t="shared" si="1"/>
        <v>0</v>
      </c>
    </row>
    <row r="42" spans="1:12" x14ac:dyDescent="0.2">
      <c r="A42" s="27" t="s">
        <v>40</v>
      </c>
      <c r="B42" s="11"/>
      <c r="C42" s="11"/>
      <c r="D42" s="11"/>
      <c r="E42" s="16"/>
      <c r="F42" s="16"/>
      <c r="G42" s="15"/>
      <c r="H42" s="18"/>
      <c r="I42" s="20"/>
      <c r="J42" s="18"/>
      <c r="K42" s="18">
        <f t="shared" si="1"/>
        <v>0</v>
      </c>
    </row>
    <row r="43" spans="1:12" x14ac:dyDescent="0.2">
      <c r="A43" s="28" t="s">
        <v>41</v>
      </c>
      <c r="B43" s="10">
        <v>62341</v>
      </c>
      <c r="C43" s="10">
        <v>2.63</v>
      </c>
      <c r="D43" s="10">
        <v>11</v>
      </c>
      <c r="E43" s="10">
        <f>SUM(E44:E49)</f>
        <v>0</v>
      </c>
      <c r="F43" s="10">
        <f t="shared" ref="F43:J43" si="9">SUM(F44:F49)</f>
        <v>0</v>
      </c>
      <c r="G43" s="10">
        <f t="shared" si="9"/>
        <v>141600</v>
      </c>
      <c r="H43" s="10">
        <f t="shared" si="9"/>
        <v>0</v>
      </c>
      <c r="I43" s="10">
        <f t="shared" si="9"/>
        <v>0</v>
      </c>
      <c r="J43" s="10">
        <f t="shared" si="9"/>
        <v>0</v>
      </c>
      <c r="K43" s="10">
        <f t="shared" si="1"/>
        <v>141600</v>
      </c>
    </row>
    <row r="44" spans="1:12" x14ac:dyDescent="0.2">
      <c r="A44" s="30" t="s">
        <v>42</v>
      </c>
      <c r="B44" s="21"/>
      <c r="C44" s="21"/>
      <c r="D44" s="21"/>
      <c r="E44" s="19"/>
      <c r="F44" s="19"/>
      <c r="G44" s="19"/>
      <c r="H44" s="19"/>
      <c r="I44" s="19"/>
      <c r="J44" s="19"/>
      <c r="K44" s="19">
        <f t="shared" si="1"/>
        <v>0</v>
      </c>
      <c r="L44" s="2"/>
    </row>
    <row r="45" spans="1:12" x14ac:dyDescent="0.2">
      <c r="A45" s="30" t="s">
        <v>44</v>
      </c>
      <c r="B45" s="21"/>
      <c r="C45" s="21"/>
      <c r="D45" s="21"/>
      <c r="E45" s="22"/>
      <c r="F45" s="19"/>
      <c r="G45" s="19"/>
      <c r="H45" s="19"/>
      <c r="I45" s="19"/>
      <c r="J45" s="23"/>
      <c r="K45" s="23">
        <f t="shared" si="1"/>
        <v>0</v>
      </c>
    </row>
    <row r="46" spans="1:12" x14ac:dyDescent="0.2">
      <c r="A46" s="30" t="s">
        <v>46</v>
      </c>
      <c r="B46" s="21"/>
      <c r="C46" s="21"/>
      <c r="D46" s="21"/>
      <c r="E46" s="19"/>
      <c r="F46" s="19"/>
      <c r="G46" s="19"/>
      <c r="H46" s="19"/>
      <c r="I46" s="19"/>
      <c r="J46" s="19"/>
      <c r="K46" s="19">
        <f t="shared" si="1"/>
        <v>0</v>
      </c>
    </row>
    <row r="47" spans="1:12" x14ac:dyDescent="0.2">
      <c r="A47" s="30" t="s">
        <v>48</v>
      </c>
      <c r="B47" s="21"/>
      <c r="C47" s="21"/>
      <c r="D47" s="21"/>
      <c r="E47" s="19"/>
      <c r="F47" s="19"/>
      <c r="G47" s="170">
        <v>141600</v>
      </c>
      <c r="H47" s="19"/>
      <c r="I47" s="19"/>
      <c r="J47" s="19"/>
      <c r="K47" s="19">
        <f t="shared" si="1"/>
        <v>141600</v>
      </c>
    </row>
    <row r="48" spans="1:12" x14ac:dyDescent="0.2">
      <c r="A48" s="30" t="s">
        <v>50</v>
      </c>
      <c r="B48" s="21"/>
      <c r="C48" s="21"/>
      <c r="D48" s="21"/>
      <c r="E48" s="19"/>
      <c r="F48" s="19"/>
      <c r="G48" s="19"/>
      <c r="H48" s="19"/>
      <c r="I48" s="19"/>
      <c r="J48" s="19"/>
      <c r="K48" s="19">
        <f t="shared" si="1"/>
        <v>0</v>
      </c>
    </row>
    <row r="49" spans="1:11" x14ac:dyDescent="0.2">
      <c r="A49" s="30" t="s">
        <v>52</v>
      </c>
      <c r="B49" s="21"/>
      <c r="C49" s="21"/>
      <c r="D49" s="21"/>
      <c r="E49" s="19"/>
      <c r="F49" s="19"/>
      <c r="G49" s="19"/>
      <c r="H49" s="19"/>
      <c r="I49" s="19"/>
      <c r="J49" s="19"/>
      <c r="K49" s="19">
        <f t="shared" si="1"/>
        <v>0</v>
      </c>
    </row>
    <row r="50" spans="1:11" x14ac:dyDescent="0.2">
      <c r="A50" s="28" t="s">
        <v>43</v>
      </c>
      <c r="B50" s="10"/>
      <c r="C50" s="10"/>
      <c r="D50" s="10"/>
      <c r="E50" s="10">
        <f>SUM(E51:E54)</f>
        <v>0</v>
      </c>
      <c r="F50" s="10">
        <f t="shared" ref="F50:I50" si="10">SUM(F51:F54)</f>
        <v>0</v>
      </c>
      <c r="G50" s="10">
        <f t="shared" si="10"/>
        <v>744741.9</v>
      </c>
      <c r="H50" s="10">
        <f t="shared" si="10"/>
        <v>0</v>
      </c>
      <c r="I50" s="10">
        <f t="shared" si="10"/>
        <v>2046999.9</v>
      </c>
      <c r="J50" s="10">
        <f>SUM(J51:J54)</f>
        <v>74014.559999999998</v>
      </c>
      <c r="K50" s="10">
        <f t="shared" si="1"/>
        <v>2865756.36</v>
      </c>
    </row>
    <row r="51" spans="1:11" x14ac:dyDescent="0.2">
      <c r="A51" s="30" t="s">
        <v>47</v>
      </c>
      <c r="B51" s="21"/>
      <c r="C51" s="21"/>
      <c r="D51" s="21"/>
      <c r="E51" s="19"/>
      <c r="F51" s="19"/>
      <c r="G51" s="19"/>
      <c r="H51" s="19"/>
      <c r="I51" s="19"/>
      <c r="J51" s="19"/>
      <c r="K51" s="19">
        <f t="shared" si="1"/>
        <v>0</v>
      </c>
    </row>
    <row r="52" spans="1:11" x14ac:dyDescent="0.2">
      <c r="A52" s="30" t="s">
        <v>45</v>
      </c>
      <c r="B52" s="21"/>
      <c r="C52" s="21"/>
      <c r="D52" s="21"/>
      <c r="E52" s="19"/>
      <c r="F52" s="19"/>
      <c r="G52" s="174">
        <f>106114.1+332988.92+87518.24+218120.64</f>
        <v>744741.9</v>
      </c>
      <c r="H52" s="19"/>
      <c r="I52" s="20">
        <f>2046999.9</f>
        <v>2046999.9</v>
      </c>
      <c r="J52" s="19">
        <v>74014.559999999998</v>
      </c>
      <c r="K52" s="19">
        <f t="shared" si="1"/>
        <v>2865756.36</v>
      </c>
    </row>
    <row r="53" spans="1:11" x14ac:dyDescent="0.2">
      <c r="A53" s="30" t="s">
        <v>49</v>
      </c>
      <c r="B53" s="21"/>
      <c r="C53" s="21"/>
      <c r="D53" s="21"/>
      <c r="E53" s="19"/>
      <c r="F53" s="19"/>
      <c r="H53" s="19"/>
      <c r="I53" s="20"/>
      <c r="J53" s="19"/>
      <c r="K53" s="19">
        <f t="shared" si="1"/>
        <v>0</v>
      </c>
    </row>
    <row r="54" spans="1:11" x14ac:dyDescent="0.2">
      <c r="A54" s="30" t="s">
        <v>51</v>
      </c>
      <c r="B54" s="21"/>
      <c r="C54" s="21"/>
      <c r="D54" s="21"/>
      <c r="E54" s="19"/>
      <c r="F54" s="19"/>
      <c r="G54" s="19"/>
      <c r="H54" s="19"/>
      <c r="I54" s="20"/>
      <c r="J54" s="19"/>
      <c r="K54" s="19">
        <f t="shared" si="1"/>
        <v>0</v>
      </c>
    </row>
    <row r="55" spans="1:11" s="2" customFormat="1" ht="15" x14ac:dyDescent="0.2">
      <c r="A55" s="28" t="s">
        <v>53</v>
      </c>
      <c r="B55" s="11"/>
      <c r="C55" s="11"/>
      <c r="D55" s="11"/>
      <c r="E55" s="10">
        <f>SUM(E56:E67)</f>
        <v>0</v>
      </c>
      <c r="F55" s="10">
        <f t="shared" ref="F55:J55" si="11">SUM(F56:F67)</f>
        <v>0</v>
      </c>
      <c r="G55" s="10">
        <f t="shared" si="11"/>
        <v>763351.91999999993</v>
      </c>
      <c r="H55" s="10">
        <f t="shared" si="11"/>
        <v>6490</v>
      </c>
      <c r="I55" s="10">
        <f t="shared" si="11"/>
        <v>254270</v>
      </c>
      <c r="J55" s="10">
        <f t="shared" si="11"/>
        <v>0</v>
      </c>
      <c r="K55" s="10">
        <f t="shared" si="1"/>
        <v>1024111.9199999999</v>
      </c>
    </row>
    <row r="56" spans="1:11" x14ac:dyDescent="0.2">
      <c r="A56" s="27" t="s">
        <v>54</v>
      </c>
      <c r="B56" s="11"/>
      <c r="C56" s="11"/>
      <c r="D56" s="11"/>
      <c r="E56" s="18"/>
      <c r="F56" s="18"/>
      <c r="G56" s="18"/>
      <c r="H56" s="18"/>
      <c r="I56" s="18"/>
      <c r="J56" s="18"/>
      <c r="K56" s="18">
        <f t="shared" si="1"/>
        <v>0</v>
      </c>
    </row>
    <row r="57" spans="1:11" x14ac:dyDescent="0.2">
      <c r="A57" s="27" t="s">
        <v>55</v>
      </c>
      <c r="B57" s="11"/>
      <c r="C57" s="11"/>
      <c r="D57" s="11"/>
      <c r="E57" s="18"/>
      <c r="F57" s="18"/>
      <c r="G57" s="18"/>
      <c r="H57" s="18"/>
      <c r="I57" s="18"/>
      <c r="J57" s="18"/>
      <c r="K57" s="18">
        <f t="shared" si="1"/>
        <v>0</v>
      </c>
    </row>
    <row r="58" spans="1:11" x14ac:dyDescent="0.2">
      <c r="A58" s="27" t="s">
        <v>56</v>
      </c>
      <c r="B58" s="11"/>
      <c r="C58" s="11"/>
      <c r="D58" s="11"/>
      <c r="E58" s="18"/>
      <c r="F58" s="18"/>
      <c r="G58" s="18"/>
      <c r="H58" s="18"/>
      <c r="I58" s="18"/>
      <c r="J58" s="18"/>
      <c r="K58" s="18">
        <f t="shared" si="1"/>
        <v>0</v>
      </c>
    </row>
    <row r="59" spans="1:11" x14ac:dyDescent="0.2">
      <c r="A59" s="27" t="s">
        <v>57</v>
      </c>
      <c r="B59" s="11"/>
      <c r="C59" s="11"/>
      <c r="D59" s="11"/>
      <c r="E59" s="18"/>
      <c r="F59" s="18"/>
      <c r="G59" s="174">
        <f>2943.62+6836.12+24176.4+18827.56+66288.22+159300+436600</f>
        <v>714971.91999999993</v>
      </c>
      <c r="H59" s="18"/>
      <c r="I59" s="18"/>
      <c r="J59" s="18"/>
      <c r="K59" s="18">
        <f t="shared" si="1"/>
        <v>714971.91999999993</v>
      </c>
    </row>
    <row r="60" spans="1:11" x14ac:dyDescent="0.2">
      <c r="A60" s="27" t="s">
        <v>58</v>
      </c>
      <c r="B60" s="11"/>
      <c r="C60" s="11"/>
      <c r="D60" s="11"/>
      <c r="E60" s="18"/>
      <c r="F60" s="18"/>
      <c r="G60" s="18"/>
      <c r="H60" s="18"/>
      <c r="I60" s="18"/>
      <c r="J60" s="18"/>
      <c r="K60" s="18">
        <f t="shared" si="1"/>
        <v>0</v>
      </c>
    </row>
    <row r="61" spans="1:11" x14ac:dyDescent="0.2">
      <c r="A61" s="27" t="s">
        <v>59</v>
      </c>
      <c r="B61" s="11"/>
      <c r="C61" s="11"/>
      <c r="D61" s="11"/>
      <c r="E61" s="16"/>
      <c r="F61" s="16"/>
      <c r="G61" s="15"/>
      <c r="H61" s="18"/>
      <c r="I61" s="18"/>
      <c r="J61" s="18"/>
      <c r="K61" s="18">
        <f t="shared" si="1"/>
        <v>0</v>
      </c>
    </row>
    <row r="62" spans="1:11" x14ac:dyDescent="0.2">
      <c r="A62" s="27" t="s">
        <v>60</v>
      </c>
      <c r="B62" s="11"/>
      <c r="C62" s="11"/>
      <c r="D62" s="11"/>
      <c r="E62" s="16"/>
      <c r="F62" s="16"/>
      <c r="G62" s="15"/>
      <c r="H62" s="18"/>
      <c r="I62" s="18"/>
      <c r="J62" s="18"/>
      <c r="K62" s="18">
        <f t="shared" si="1"/>
        <v>0</v>
      </c>
    </row>
    <row r="63" spans="1:11" x14ac:dyDescent="0.2">
      <c r="A63" s="27" t="s">
        <v>61</v>
      </c>
      <c r="B63" s="11"/>
      <c r="C63" s="11"/>
      <c r="D63" s="11"/>
      <c r="E63" s="18"/>
      <c r="F63" s="18"/>
      <c r="G63" s="18"/>
      <c r="H63" s="18"/>
      <c r="I63" s="18"/>
      <c r="J63" s="18"/>
      <c r="K63" s="18">
        <f t="shared" si="1"/>
        <v>0</v>
      </c>
    </row>
    <row r="64" spans="1:11" x14ac:dyDescent="0.2">
      <c r="A64" s="27" t="s">
        <v>62</v>
      </c>
      <c r="B64" s="11"/>
      <c r="C64" s="11"/>
      <c r="D64" s="11"/>
      <c r="E64" s="16"/>
      <c r="F64" s="16"/>
      <c r="G64" s="16"/>
      <c r="H64" s="16"/>
      <c r="I64" s="18"/>
      <c r="J64" s="18"/>
      <c r="K64" s="18">
        <f t="shared" si="1"/>
        <v>0</v>
      </c>
    </row>
    <row r="65" spans="1:11" x14ac:dyDescent="0.2">
      <c r="A65" s="27" t="s">
        <v>63</v>
      </c>
      <c r="B65" s="11"/>
      <c r="C65" s="11"/>
      <c r="D65" s="11"/>
      <c r="E65" s="16"/>
      <c r="F65" s="16"/>
      <c r="G65" s="15"/>
      <c r="H65" s="18"/>
      <c r="I65" s="18"/>
      <c r="J65" s="18"/>
      <c r="K65" s="18">
        <f t="shared" si="1"/>
        <v>0</v>
      </c>
    </row>
    <row r="66" spans="1:11" x14ac:dyDescent="0.2">
      <c r="A66" s="27" t="s">
        <v>64</v>
      </c>
      <c r="B66" s="11"/>
      <c r="C66" s="11"/>
      <c r="D66" s="11"/>
      <c r="E66" s="16"/>
      <c r="F66" s="16"/>
      <c r="G66" s="16"/>
      <c r="I66" s="16">
        <v>193500</v>
      </c>
      <c r="J66" s="18"/>
      <c r="K66" s="18">
        <f t="shared" si="1"/>
        <v>193500</v>
      </c>
    </row>
    <row r="67" spans="1:11" x14ac:dyDescent="0.2">
      <c r="A67" s="27" t="s">
        <v>65</v>
      </c>
      <c r="B67" s="11"/>
      <c r="C67" s="11"/>
      <c r="D67" s="11"/>
      <c r="E67" s="16"/>
      <c r="F67" s="16"/>
      <c r="G67" s="174">
        <f>4720+9440+11210+23010</f>
        <v>48380</v>
      </c>
      <c r="H67" s="18">
        <f>6490</f>
        <v>6490</v>
      </c>
      <c r="I67" s="18">
        <f>51330+9440</f>
        <v>60770</v>
      </c>
      <c r="J67" s="18"/>
      <c r="K67" s="18">
        <f t="shared" si="1"/>
        <v>115640</v>
      </c>
    </row>
    <row r="68" spans="1:11" x14ac:dyDescent="0.2">
      <c r="A68" s="31" t="s">
        <v>66</v>
      </c>
      <c r="B68" s="10"/>
      <c r="C68" s="10"/>
      <c r="D68" s="10"/>
      <c r="E68" s="10">
        <f>SUM(E69:E85)</f>
        <v>0</v>
      </c>
      <c r="F68" s="10">
        <f t="shared" ref="F68:J68" si="12">SUM(F69:F85)</f>
        <v>0</v>
      </c>
      <c r="G68" s="10">
        <f t="shared" si="12"/>
        <v>674606</v>
      </c>
      <c r="H68" s="10">
        <f t="shared" si="12"/>
        <v>8619</v>
      </c>
      <c r="I68" s="10">
        <f t="shared" si="12"/>
        <v>2109294.9</v>
      </c>
      <c r="J68" s="10">
        <f t="shared" si="12"/>
        <v>1176000</v>
      </c>
      <c r="K68" s="10">
        <f t="shared" ref="K68:K98" si="13">SUM(E68:J68)</f>
        <v>3968519.9</v>
      </c>
    </row>
    <row r="69" spans="1:11" x14ac:dyDescent="0.2">
      <c r="A69" s="29" t="s">
        <v>67</v>
      </c>
      <c r="B69" s="21"/>
      <c r="C69" s="21"/>
      <c r="D69" s="21"/>
      <c r="E69" s="19"/>
      <c r="F69" s="19"/>
      <c r="G69" s="19"/>
      <c r="H69" s="19"/>
      <c r="I69" s="19"/>
      <c r="J69" s="19"/>
      <c r="K69" s="19">
        <f t="shared" si="13"/>
        <v>0</v>
      </c>
    </row>
    <row r="70" spans="1:11" x14ac:dyDescent="0.2">
      <c r="A70" s="29" t="s">
        <v>68</v>
      </c>
      <c r="B70" s="21"/>
      <c r="C70" s="21"/>
      <c r="D70" s="21"/>
      <c r="E70" s="19"/>
      <c r="F70" s="19"/>
      <c r="G70" s="19"/>
      <c r="I70" s="19">
        <f>135700+472000</f>
        <v>607700</v>
      </c>
      <c r="J70" s="19"/>
      <c r="K70" s="19">
        <f t="shared" si="13"/>
        <v>607700</v>
      </c>
    </row>
    <row r="71" spans="1:11" x14ac:dyDescent="0.2">
      <c r="A71" s="29" t="s">
        <v>69</v>
      </c>
      <c r="B71" s="21"/>
      <c r="C71" s="21"/>
      <c r="D71" s="21"/>
      <c r="E71" s="19"/>
      <c r="F71" s="19"/>
      <c r="G71" s="19">
        <v>196470</v>
      </c>
      <c r="H71" s="19"/>
      <c r="I71" s="19"/>
      <c r="J71" s="19"/>
      <c r="K71" s="19">
        <f t="shared" si="13"/>
        <v>196470</v>
      </c>
    </row>
    <row r="72" spans="1:11" x14ac:dyDescent="0.2">
      <c r="A72" s="29" t="s">
        <v>70</v>
      </c>
      <c r="B72" s="21"/>
      <c r="C72" s="21"/>
      <c r="D72" s="21"/>
      <c r="E72" s="19"/>
      <c r="F72" s="19"/>
      <c r="G72" s="19"/>
      <c r="H72" s="19"/>
      <c r="I72" s="19"/>
      <c r="J72" s="19"/>
      <c r="K72" s="19">
        <f t="shared" si="13"/>
        <v>0</v>
      </c>
    </row>
    <row r="73" spans="1:11" x14ac:dyDescent="0.2">
      <c r="A73" s="29" t="s">
        <v>71</v>
      </c>
      <c r="B73" s="21"/>
      <c r="C73" s="21"/>
      <c r="D73" s="21"/>
      <c r="E73" s="19"/>
      <c r="F73" s="19"/>
      <c r="G73" s="19"/>
      <c r="H73" s="19"/>
      <c r="I73" s="19"/>
      <c r="J73" s="19"/>
      <c r="K73" s="19">
        <f t="shared" si="13"/>
        <v>0</v>
      </c>
    </row>
    <row r="74" spans="1:11" x14ac:dyDescent="0.2">
      <c r="A74" s="29" t="s">
        <v>72</v>
      </c>
      <c r="B74" s="21"/>
      <c r="C74" s="21"/>
      <c r="D74" s="21"/>
      <c r="E74" s="19"/>
      <c r="F74" s="19"/>
      <c r="G74" s="19"/>
      <c r="H74" s="19"/>
      <c r="I74" s="19"/>
      <c r="J74" s="19"/>
      <c r="K74" s="19">
        <f t="shared" si="13"/>
        <v>0</v>
      </c>
    </row>
    <row r="75" spans="1:11" x14ac:dyDescent="0.2">
      <c r="A75" s="29" t="s">
        <v>73</v>
      </c>
      <c r="B75" s="21"/>
      <c r="C75" s="21"/>
      <c r="D75" s="21"/>
      <c r="E75" s="19"/>
      <c r="F75" s="19"/>
      <c r="G75" s="19"/>
      <c r="H75" s="19"/>
      <c r="I75" s="19"/>
      <c r="J75" s="19"/>
      <c r="K75" s="19">
        <f t="shared" si="13"/>
        <v>0</v>
      </c>
    </row>
    <row r="76" spans="1:11" x14ac:dyDescent="0.2">
      <c r="A76" s="29" t="s">
        <v>74</v>
      </c>
      <c r="B76" s="21"/>
      <c r="C76" s="21"/>
      <c r="D76" s="21"/>
      <c r="E76" s="19"/>
      <c r="F76" s="19"/>
      <c r="G76" s="19">
        <f>19824+9676+47436</f>
        <v>76936</v>
      </c>
      <c r="I76" s="19">
        <f>18290+590000+11210+18620+97055</f>
        <v>735175</v>
      </c>
      <c r="J76" s="19"/>
      <c r="K76" s="19">
        <f t="shared" si="13"/>
        <v>812111</v>
      </c>
    </row>
    <row r="77" spans="1:11" x14ac:dyDescent="0.2">
      <c r="A77" s="29" t="s">
        <v>75</v>
      </c>
      <c r="B77" s="21"/>
      <c r="C77" s="21"/>
      <c r="D77" s="21"/>
      <c r="E77" s="19"/>
      <c r="F77" s="19"/>
      <c r="G77" s="19"/>
      <c r="H77" s="19"/>
      <c r="I77" s="24"/>
      <c r="J77" s="19"/>
      <c r="K77" s="19">
        <f t="shared" si="13"/>
        <v>0</v>
      </c>
    </row>
    <row r="78" spans="1:11" x14ac:dyDescent="0.2">
      <c r="A78" s="29" t="s">
        <v>76</v>
      </c>
      <c r="B78" s="21"/>
      <c r="C78" s="21"/>
      <c r="D78" s="21"/>
      <c r="E78" s="19"/>
      <c r="F78" s="19"/>
      <c r="G78" s="19">
        <v>401200</v>
      </c>
      <c r="H78" s="19"/>
      <c r="I78" s="19"/>
      <c r="J78" s="19"/>
      <c r="K78" s="19">
        <f t="shared" si="13"/>
        <v>401200</v>
      </c>
    </row>
    <row r="79" spans="1:11" x14ac:dyDescent="0.2">
      <c r="A79" s="29" t="s">
        <v>62</v>
      </c>
      <c r="B79" s="21"/>
      <c r="C79" s="21"/>
      <c r="D79" s="21"/>
      <c r="E79" s="19"/>
      <c r="F79" s="19"/>
      <c r="G79" s="19"/>
      <c r="H79" s="19">
        <f>8367</f>
        <v>8367</v>
      </c>
      <c r="I79" s="19">
        <v>33468</v>
      </c>
      <c r="J79" s="19"/>
      <c r="K79" s="19">
        <f t="shared" si="13"/>
        <v>41835</v>
      </c>
    </row>
    <row r="80" spans="1:11" x14ac:dyDescent="0.2">
      <c r="A80" s="29" t="s">
        <v>77</v>
      </c>
      <c r="B80" s="21"/>
      <c r="C80" s="21"/>
      <c r="D80" s="21"/>
      <c r="E80" s="19"/>
      <c r="F80" s="19"/>
      <c r="G80" s="19"/>
      <c r="I80" s="19">
        <v>109999.9</v>
      </c>
      <c r="J80" s="19"/>
      <c r="K80" s="19">
        <f t="shared" si="13"/>
        <v>109999.9</v>
      </c>
    </row>
    <row r="81" spans="1:11" x14ac:dyDescent="0.2">
      <c r="A81" s="29" t="s">
        <v>78</v>
      </c>
      <c r="B81" s="21"/>
      <c r="C81" s="21"/>
      <c r="D81" s="21"/>
      <c r="E81" s="19"/>
      <c r="F81" s="19"/>
      <c r="G81" s="19"/>
      <c r="H81" s="19"/>
      <c r="I81" s="19"/>
      <c r="J81" s="19"/>
      <c r="K81" s="19">
        <f t="shared" si="13"/>
        <v>0</v>
      </c>
    </row>
    <row r="82" spans="1:11" x14ac:dyDescent="0.2">
      <c r="A82" s="29" t="s">
        <v>79</v>
      </c>
      <c r="B82" s="21"/>
      <c r="C82" s="21"/>
      <c r="D82" s="21"/>
      <c r="E82" s="19"/>
      <c r="F82" s="19"/>
      <c r="G82" s="19"/>
      <c r="H82" s="19"/>
      <c r="I82" s="19">
        <f>440000+140000</f>
        <v>580000</v>
      </c>
      <c r="J82" s="19">
        <v>1176000</v>
      </c>
      <c r="K82" s="19">
        <f t="shared" si="13"/>
        <v>1756000</v>
      </c>
    </row>
    <row r="83" spans="1:11" x14ac:dyDescent="0.2">
      <c r="A83" s="29" t="s">
        <v>80</v>
      </c>
      <c r="B83" s="21"/>
      <c r="C83" s="21"/>
      <c r="D83" s="21"/>
      <c r="E83" s="19"/>
      <c r="F83" s="19"/>
      <c r="G83" s="19"/>
      <c r="H83" s="19">
        <f>252</f>
        <v>252</v>
      </c>
      <c r="I83" s="19">
        <v>42952</v>
      </c>
      <c r="J83" s="19"/>
      <c r="K83" s="19">
        <f t="shared" si="13"/>
        <v>43204</v>
      </c>
    </row>
    <row r="84" spans="1:11" x14ac:dyDescent="0.2">
      <c r="A84" s="29" t="s">
        <v>81</v>
      </c>
      <c r="B84" s="21"/>
      <c r="C84" s="21"/>
      <c r="D84" s="21"/>
      <c r="E84" s="19"/>
      <c r="F84" s="19"/>
      <c r="G84" s="19"/>
      <c r="H84" s="19"/>
      <c r="I84" s="19"/>
      <c r="J84" s="19"/>
      <c r="K84" s="19">
        <f t="shared" si="13"/>
        <v>0</v>
      </c>
    </row>
    <row r="85" spans="1:11" x14ac:dyDescent="0.2">
      <c r="A85" s="29" t="s">
        <v>82</v>
      </c>
      <c r="B85" s="21"/>
      <c r="C85" s="21"/>
      <c r="D85" s="21"/>
      <c r="E85" s="19"/>
      <c r="F85" s="19"/>
      <c r="G85" s="19"/>
      <c r="H85" s="19"/>
      <c r="I85" s="19"/>
      <c r="J85" s="19"/>
      <c r="K85" s="19">
        <f t="shared" si="13"/>
        <v>0</v>
      </c>
    </row>
    <row r="86" spans="1:11" x14ac:dyDescent="0.2">
      <c r="A86" s="28" t="s">
        <v>83</v>
      </c>
      <c r="B86" s="10"/>
      <c r="C86" s="10"/>
      <c r="D86" s="10"/>
      <c r="E86" s="10">
        <f>SUM(E87)</f>
        <v>0</v>
      </c>
      <c r="F86" s="10">
        <f t="shared" ref="F86:J86" si="14">SUM(F87)</f>
        <v>0</v>
      </c>
      <c r="G86" s="10">
        <f t="shared" si="14"/>
        <v>0</v>
      </c>
      <c r="H86" s="10">
        <f t="shared" si="14"/>
        <v>0</v>
      </c>
      <c r="I86" s="10">
        <f t="shared" si="14"/>
        <v>0</v>
      </c>
      <c r="J86" s="10">
        <f t="shared" si="14"/>
        <v>0</v>
      </c>
      <c r="K86" s="10">
        <f t="shared" si="13"/>
        <v>0</v>
      </c>
    </row>
    <row r="87" spans="1:11" x14ac:dyDescent="0.2">
      <c r="A87" s="29" t="s">
        <v>84</v>
      </c>
      <c r="B87" s="21"/>
      <c r="C87" s="21"/>
      <c r="D87" s="21"/>
      <c r="E87" s="19"/>
      <c r="F87" s="19"/>
      <c r="G87" s="20"/>
      <c r="H87" s="19"/>
      <c r="I87" s="19"/>
      <c r="J87" s="19"/>
      <c r="K87" s="19">
        <f t="shared" si="13"/>
        <v>0</v>
      </c>
    </row>
    <row r="88" spans="1:11" x14ac:dyDescent="0.2">
      <c r="A88" s="31" t="s">
        <v>85</v>
      </c>
      <c r="B88" s="10"/>
      <c r="C88" s="10"/>
      <c r="D88" s="10"/>
      <c r="E88" s="10">
        <f>SUM(E89:E90)</f>
        <v>0</v>
      </c>
      <c r="F88" s="10">
        <f t="shared" ref="F88:J88" si="15">SUM(F89:F90)</f>
        <v>0</v>
      </c>
      <c r="G88" s="10">
        <f t="shared" si="15"/>
        <v>0</v>
      </c>
      <c r="H88" s="10">
        <f t="shared" si="15"/>
        <v>0</v>
      </c>
      <c r="I88" s="10">
        <f t="shared" si="15"/>
        <v>0</v>
      </c>
      <c r="J88" s="10">
        <f t="shared" si="15"/>
        <v>0</v>
      </c>
      <c r="K88" s="10">
        <f t="shared" si="13"/>
        <v>0</v>
      </c>
    </row>
    <row r="89" spans="1:11" x14ac:dyDescent="0.2">
      <c r="A89" s="29" t="s">
        <v>86</v>
      </c>
      <c r="B89" s="21"/>
      <c r="C89" s="21"/>
      <c r="D89" s="21"/>
      <c r="E89" s="19"/>
      <c r="F89" s="19"/>
      <c r="G89" s="19"/>
      <c r="H89" s="19"/>
      <c r="I89" s="19"/>
      <c r="J89" s="19"/>
      <c r="K89" s="19">
        <f t="shared" si="13"/>
        <v>0</v>
      </c>
    </row>
    <row r="90" spans="1:11" x14ac:dyDescent="0.2">
      <c r="A90" s="29" t="s">
        <v>87</v>
      </c>
      <c r="B90" s="21"/>
      <c r="C90" s="21"/>
      <c r="D90" s="21"/>
      <c r="E90" s="19"/>
      <c r="F90" s="19"/>
      <c r="G90" s="19"/>
      <c r="H90" s="20"/>
      <c r="I90" s="17"/>
      <c r="J90" s="19"/>
      <c r="K90" s="19">
        <f t="shared" si="13"/>
        <v>0</v>
      </c>
    </row>
    <row r="91" spans="1:11" x14ac:dyDescent="0.2">
      <c r="A91" s="28" t="s">
        <v>88</v>
      </c>
      <c r="B91" s="10">
        <v>875767</v>
      </c>
      <c r="C91" s="10">
        <v>35.799999999999997</v>
      </c>
      <c r="D91" s="10">
        <v>20</v>
      </c>
      <c r="E91" s="10">
        <f>SUM(E92:E98)</f>
        <v>0</v>
      </c>
      <c r="F91" s="10">
        <f t="shared" ref="F91:H91" si="16">SUM(F92:F98)</f>
        <v>64146.34</v>
      </c>
      <c r="G91" s="10">
        <f t="shared" si="16"/>
        <v>4549424.5999999996</v>
      </c>
      <c r="H91" s="10">
        <f t="shared" si="16"/>
        <v>1365418.45</v>
      </c>
      <c r="I91" s="10">
        <f>SUM(I92:I98)</f>
        <v>2057511.47</v>
      </c>
      <c r="J91" s="10">
        <f>SUM(J92:J98)</f>
        <v>3180027.08</v>
      </c>
      <c r="K91" s="10">
        <f t="shared" si="13"/>
        <v>11216527.939999999</v>
      </c>
    </row>
    <row r="92" spans="1:11" x14ac:dyDescent="0.2">
      <c r="A92" s="27" t="s">
        <v>89</v>
      </c>
      <c r="B92" s="11"/>
      <c r="C92" s="11"/>
      <c r="D92" s="11"/>
      <c r="E92" s="25"/>
      <c r="F92" s="25"/>
      <c r="G92" s="25">
        <f>586372+104244+369340</f>
        <v>1059956</v>
      </c>
      <c r="H92" s="25">
        <f>8236.4+86870+531000</f>
        <v>626106.4</v>
      </c>
      <c r="I92" s="20">
        <f>9676+25724+171690</f>
        <v>207090</v>
      </c>
      <c r="J92" s="25">
        <f>136231+173740</f>
        <v>309971</v>
      </c>
      <c r="K92" s="25">
        <f t="shared" si="13"/>
        <v>2203123.4</v>
      </c>
    </row>
    <row r="93" spans="1:11" x14ac:dyDescent="0.2">
      <c r="A93" s="27" t="s">
        <v>90</v>
      </c>
      <c r="B93" s="11"/>
      <c r="C93" s="11"/>
      <c r="D93" s="11"/>
      <c r="E93" s="25"/>
      <c r="F93" s="25"/>
      <c r="G93" s="174">
        <f>7000+10000+14500</f>
        <v>31500</v>
      </c>
      <c r="H93" s="25"/>
      <c r="I93" s="20"/>
      <c r="J93" s="25">
        <f>7000+15000</f>
        <v>22000</v>
      </c>
      <c r="K93" s="25">
        <f t="shared" si="13"/>
        <v>53500</v>
      </c>
    </row>
    <row r="94" spans="1:11" x14ac:dyDescent="0.2">
      <c r="A94" s="27" t="s">
        <v>91</v>
      </c>
      <c r="B94" s="11"/>
      <c r="C94" s="11"/>
      <c r="D94" s="11"/>
      <c r="E94" s="25"/>
      <c r="F94" s="25"/>
      <c r="G94" s="25">
        <v>94500</v>
      </c>
      <c r="H94" s="25">
        <v>425250</v>
      </c>
      <c r="I94" s="20">
        <f>84000+708750+167832.27+861000</f>
        <v>1821582.27</v>
      </c>
      <c r="J94" s="25">
        <f>1745625+466196.2+11299.4+159229</f>
        <v>2382349.6</v>
      </c>
      <c r="K94" s="25">
        <f t="shared" si="13"/>
        <v>4723681.87</v>
      </c>
    </row>
    <row r="95" spans="1:11" x14ac:dyDescent="0.2">
      <c r="A95" s="30" t="s">
        <v>92</v>
      </c>
      <c r="B95" s="21"/>
      <c r="C95" s="21"/>
      <c r="D95" s="21"/>
      <c r="E95" s="25"/>
      <c r="F95" s="25"/>
      <c r="G95" s="25"/>
      <c r="H95" s="25"/>
      <c r="I95" s="20"/>
      <c r="J95" s="25"/>
      <c r="K95" s="25">
        <f t="shared" si="13"/>
        <v>0</v>
      </c>
    </row>
    <row r="96" spans="1:11" x14ac:dyDescent="0.2">
      <c r="A96" s="30" t="s">
        <v>93</v>
      </c>
      <c r="B96" s="21"/>
      <c r="C96" s="21"/>
      <c r="D96" s="21"/>
      <c r="E96" s="25"/>
      <c r="F96" s="25"/>
      <c r="G96" s="25"/>
      <c r="H96" s="25"/>
      <c r="I96" s="20"/>
      <c r="J96" s="25"/>
      <c r="K96" s="25">
        <f t="shared" si="13"/>
        <v>0</v>
      </c>
    </row>
    <row r="97" spans="1:12" x14ac:dyDescent="0.2">
      <c r="A97" s="30" t="s">
        <v>94</v>
      </c>
      <c r="B97" s="21"/>
      <c r="C97" s="21"/>
      <c r="D97" s="21"/>
      <c r="E97" s="23"/>
      <c r="F97" s="174">
        <v>64146.34</v>
      </c>
      <c r="G97" s="23">
        <f>3363+236000+3124105.6</f>
        <v>3363468.6</v>
      </c>
      <c r="H97" s="23">
        <f>8367+9059.31+25488+92014.94+179132.8</f>
        <v>314062.05</v>
      </c>
      <c r="I97" s="20">
        <f>5900+22939.2</f>
        <v>28839.200000000001</v>
      </c>
      <c r="J97" s="23">
        <f>6000+37052+118000+304654.48</f>
        <v>465706.48</v>
      </c>
      <c r="K97" s="23">
        <f t="shared" si="13"/>
        <v>4236222.67</v>
      </c>
    </row>
    <row r="98" spans="1:12" x14ac:dyDescent="0.2">
      <c r="A98" s="30" t="s">
        <v>95</v>
      </c>
      <c r="B98" s="21"/>
      <c r="C98" s="21"/>
      <c r="D98" s="21"/>
      <c r="E98" s="23"/>
      <c r="F98" s="23"/>
      <c r="G98" s="23"/>
      <c r="H98" s="23"/>
      <c r="I98" s="23"/>
      <c r="J98" s="23"/>
      <c r="K98" s="23">
        <f t="shared" si="13"/>
        <v>0</v>
      </c>
    </row>
    <row r="99" spans="1:12" ht="14.25" customHeight="1" thickBot="1" x14ac:dyDescent="0.25">
      <c r="A99" s="32" t="s">
        <v>96</v>
      </c>
      <c r="B99" s="33"/>
      <c r="C99" s="33"/>
      <c r="D99" s="33"/>
      <c r="E99" s="34">
        <f>SUM(E91,E88,E86,E68,E55,E50,E43,E41,E39,E34,E27,E17,E15,E8,E4)</f>
        <v>861400</v>
      </c>
      <c r="F99" s="34">
        <f t="shared" ref="F99:J99" si="17">SUM(F91,F88,F86,F68,F55,F50,F43,F41,F39,F34,F27,F17,F15,F8,F4)</f>
        <v>64146.34</v>
      </c>
      <c r="G99" s="34">
        <f t="shared" si="17"/>
        <v>8417990.4199999999</v>
      </c>
      <c r="H99" s="34">
        <f t="shared" si="17"/>
        <v>1380527.45</v>
      </c>
      <c r="I99" s="34">
        <f t="shared" si="17"/>
        <v>7915076.2699999996</v>
      </c>
      <c r="J99" s="34">
        <f t="shared" si="17"/>
        <v>5385900.6399999997</v>
      </c>
      <c r="K99" s="34">
        <f>SUM(E99:J99)</f>
        <v>24025041.119999997</v>
      </c>
      <c r="L99"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B90FA-E7BE-674E-90D4-9426FF32C40B}">
  <dimension ref="A1:L99"/>
  <sheetViews>
    <sheetView topLeftCell="A4" zoomScale="88" workbookViewId="0">
      <selection activeCell="A36" sqref="A36"/>
    </sheetView>
  </sheetViews>
  <sheetFormatPr baseColWidth="10" defaultColWidth="8.83203125" defaultRowHeight="16" x14ac:dyDescent="0.2"/>
  <cols>
    <col min="1" max="1" width="68.1640625" style="4" customWidth="1"/>
    <col min="2" max="2" width="24.6640625" style="4" hidden="1" customWidth="1"/>
    <col min="3" max="3" width="23.1640625" style="4" hidden="1" customWidth="1"/>
    <col min="4" max="4" width="21" style="4" hidden="1" customWidth="1"/>
    <col min="5" max="5" width="8.83203125" style="5" bestFit="1" customWidth="1"/>
    <col min="6" max="6" width="12.6640625" style="5" bestFit="1" customWidth="1"/>
    <col min="7" max="7" width="13.6640625" bestFit="1" customWidth="1"/>
    <col min="8" max="10" width="14.5" bestFit="1" customWidth="1"/>
    <col min="11" max="11" width="11.33203125" bestFit="1" customWidth="1"/>
    <col min="12" max="12" width="13.1640625" customWidth="1"/>
  </cols>
  <sheetData>
    <row r="1" spans="1:11" ht="23" thickBot="1" x14ac:dyDescent="0.25">
      <c r="A1" s="155" t="s">
        <v>108</v>
      </c>
      <c r="B1" s="156"/>
      <c r="C1" s="156"/>
      <c r="D1" s="156"/>
      <c r="E1" s="156"/>
      <c r="F1" s="156"/>
      <c r="G1" s="156"/>
      <c r="H1" s="156"/>
      <c r="I1" s="156"/>
      <c r="J1" s="156"/>
    </row>
    <row r="2" spans="1:11" ht="32" x14ac:dyDescent="0.2">
      <c r="A2" s="26" t="s">
        <v>0</v>
      </c>
      <c r="B2" s="6"/>
      <c r="C2" s="6"/>
      <c r="D2" s="6"/>
      <c r="E2" s="7" t="s">
        <v>107</v>
      </c>
      <c r="F2" s="35" t="s">
        <v>131</v>
      </c>
      <c r="G2" s="35" t="s">
        <v>132</v>
      </c>
      <c r="H2" s="35" t="s">
        <v>133</v>
      </c>
      <c r="I2" s="35" t="s">
        <v>134</v>
      </c>
      <c r="J2" s="35" t="s">
        <v>135</v>
      </c>
      <c r="K2" s="143" t="s">
        <v>116</v>
      </c>
    </row>
    <row r="3" spans="1:11" x14ac:dyDescent="0.2">
      <c r="A3" s="27"/>
      <c r="B3" s="8"/>
      <c r="C3" s="8"/>
      <c r="D3" s="8"/>
      <c r="E3" s="9"/>
      <c r="F3" s="9"/>
      <c r="G3" s="9"/>
      <c r="H3" s="9"/>
      <c r="I3" s="9"/>
      <c r="J3" s="9"/>
      <c r="K3" s="9"/>
    </row>
    <row r="4" spans="1:11" x14ac:dyDescent="0.2">
      <c r="A4" s="28" t="s">
        <v>2</v>
      </c>
      <c r="B4" s="10">
        <v>725167</v>
      </c>
      <c r="C4" s="10">
        <v>31.1</v>
      </c>
      <c r="D4" s="10">
        <v>11</v>
      </c>
      <c r="E4" s="10">
        <f>SUM(E5:E7)</f>
        <v>861400</v>
      </c>
      <c r="F4" s="10">
        <f t="shared" ref="F4:J4" si="0">SUM(F5:F7)</f>
        <v>0</v>
      </c>
      <c r="G4" s="10">
        <f t="shared" si="0"/>
        <v>0</v>
      </c>
      <c r="H4" s="10">
        <f t="shared" si="0"/>
        <v>0</v>
      </c>
      <c r="I4" s="10">
        <f t="shared" si="0"/>
        <v>0</v>
      </c>
      <c r="J4" s="10">
        <f t="shared" si="0"/>
        <v>0</v>
      </c>
      <c r="K4" s="10">
        <f t="shared" ref="K4:K67" si="1">SUM(E4:J4)</f>
        <v>861400</v>
      </c>
    </row>
    <row r="5" spans="1:11" x14ac:dyDescent="0.2">
      <c r="A5" s="27" t="s">
        <v>3</v>
      </c>
      <c r="B5" s="11"/>
      <c r="C5" s="11"/>
      <c r="D5" s="11"/>
      <c r="E5" s="12">
        <v>590000</v>
      </c>
      <c r="F5" s="12"/>
      <c r="G5" s="12"/>
      <c r="H5" s="12"/>
      <c r="I5" s="12"/>
      <c r="J5" s="12"/>
      <c r="K5" s="12">
        <f t="shared" si="1"/>
        <v>590000</v>
      </c>
    </row>
    <row r="6" spans="1:11" x14ac:dyDescent="0.2">
      <c r="A6" s="27" t="s">
        <v>4</v>
      </c>
      <c r="B6" s="11"/>
      <c r="C6" s="11"/>
      <c r="D6" s="11"/>
      <c r="E6" s="12">
        <v>236000</v>
      </c>
      <c r="F6" s="12"/>
      <c r="G6" s="12"/>
      <c r="H6" s="12"/>
      <c r="I6" s="12"/>
      <c r="J6" s="12"/>
      <c r="K6" s="12">
        <f t="shared" si="1"/>
        <v>236000</v>
      </c>
    </row>
    <row r="7" spans="1:11" x14ac:dyDescent="0.2">
      <c r="A7" s="27" t="s">
        <v>5</v>
      </c>
      <c r="B7" s="11"/>
      <c r="C7" s="11"/>
      <c r="D7" s="11"/>
      <c r="E7" s="13">
        <v>35400</v>
      </c>
      <c r="F7" s="13"/>
      <c r="G7" s="170"/>
      <c r="H7" s="13"/>
      <c r="I7" s="13"/>
      <c r="J7" s="13"/>
      <c r="K7" s="13">
        <f t="shared" si="1"/>
        <v>35400</v>
      </c>
    </row>
    <row r="8" spans="1:11" x14ac:dyDescent="0.2">
      <c r="A8" s="28" t="s">
        <v>6</v>
      </c>
      <c r="B8" s="10"/>
      <c r="C8" s="10"/>
      <c r="D8" s="10">
        <v>9</v>
      </c>
      <c r="E8" s="10">
        <f>SUM(E9:E14)</f>
        <v>0</v>
      </c>
      <c r="F8" s="10">
        <f t="shared" ref="F8:J8" si="2">SUM(F9:F14)</f>
        <v>3265936.06</v>
      </c>
      <c r="G8" s="10">
        <f t="shared" si="2"/>
        <v>0</v>
      </c>
      <c r="H8" s="10">
        <f t="shared" si="2"/>
        <v>118000</v>
      </c>
      <c r="I8" s="10">
        <f t="shared" si="2"/>
        <v>450000</v>
      </c>
      <c r="J8" s="10">
        <f t="shared" si="2"/>
        <v>0</v>
      </c>
      <c r="K8" s="10">
        <f t="shared" si="1"/>
        <v>3833936.06</v>
      </c>
    </row>
    <row r="9" spans="1:11" x14ac:dyDescent="0.2">
      <c r="A9" s="27" t="s">
        <v>7</v>
      </c>
      <c r="B9" s="11"/>
      <c r="C9" s="11"/>
      <c r="D9" s="11"/>
      <c r="E9" s="13"/>
      <c r="F9" s="13"/>
      <c r="G9" s="13"/>
      <c r="H9" s="13"/>
      <c r="I9" s="13"/>
      <c r="J9" s="13"/>
      <c r="K9" s="13">
        <f t="shared" si="1"/>
        <v>0</v>
      </c>
    </row>
    <row r="10" spans="1:11" x14ac:dyDescent="0.2">
      <c r="A10" s="27" t="s">
        <v>8</v>
      </c>
      <c r="B10" s="11"/>
      <c r="C10" s="11"/>
      <c r="D10" s="11"/>
      <c r="E10" s="13"/>
      <c r="F10" s="13">
        <v>3081856.06</v>
      </c>
      <c r="G10" s="13"/>
      <c r="H10" s="13"/>
      <c r="I10" s="13"/>
      <c r="J10" s="13"/>
      <c r="K10" s="13">
        <f t="shared" si="1"/>
        <v>3081856.06</v>
      </c>
    </row>
    <row r="11" spans="1:11" x14ac:dyDescent="0.2">
      <c r="A11" s="27" t="s">
        <v>9</v>
      </c>
      <c r="B11" s="11"/>
      <c r="C11" s="11"/>
      <c r="D11" s="11"/>
      <c r="E11" s="13"/>
      <c r="F11" s="13"/>
      <c r="G11" s="13"/>
      <c r="H11" s="13"/>
      <c r="I11">
        <v>450000</v>
      </c>
      <c r="J11" s="13"/>
      <c r="K11" s="13">
        <f t="shared" si="1"/>
        <v>450000</v>
      </c>
    </row>
    <row r="12" spans="1:11" x14ac:dyDescent="0.2">
      <c r="A12" s="27" t="s">
        <v>10</v>
      </c>
      <c r="B12" s="11"/>
      <c r="C12" s="11"/>
      <c r="D12" s="11"/>
      <c r="E12" s="13"/>
      <c r="F12" s="13"/>
      <c r="G12" s="13"/>
      <c r="H12" s="13"/>
      <c r="I12" s="13"/>
      <c r="J12" s="13"/>
      <c r="K12" s="13">
        <f t="shared" si="1"/>
        <v>0</v>
      </c>
    </row>
    <row r="13" spans="1:11" x14ac:dyDescent="0.2">
      <c r="A13" s="27" t="s">
        <v>11</v>
      </c>
      <c r="B13" s="11"/>
      <c r="C13" s="11"/>
      <c r="D13" s="11"/>
      <c r="E13" s="13"/>
      <c r="F13" s="13"/>
      <c r="G13" s="13"/>
      <c r="H13" s="13">
        <v>118000</v>
      </c>
      <c r="I13" s="13"/>
      <c r="J13" s="13"/>
      <c r="K13" s="13">
        <f t="shared" si="1"/>
        <v>118000</v>
      </c>
    </row>
    <row r="14" spans="1:11" x14ac:dyDescent="0.2">
      <c r="A14" s="27" t="s">
        <v>12</v>
      </c>
      <c r="B14" s="11"/>
      <c r="C14" s="11"/>
      <c r="D14" s="11"/>
      <c r="E14" s="13"/>
      <c r="F14" s="13">
        <v>184080</v>
      </c>
      <c r="G14" s="13"/>
      <c r="H14" s="13"/>
      <c r="I14" s="13"/>
      <c r="J14" s="13"/>
      <c r="K14" s="13">
        <f t="shared" si="1"/>
        <v>184080</v>
      </c>
    </row>
    <row r="15" spans="1:11" x14ac:dyDescent="0.2">
      <c r="A15" s="28" t="s">
        <v>13</v>
      </c>
      <c r="B15" s="10">
        <v>724989</v>
      </c>
      <c r="C15" s="10">
        <v>29.55</v>
      </c>
      <c r="D15" s="10">
        <v>16</v>
      </c>
      <c r="E15" s="10">
        <f>SUM(E16)</f>
        <v>0</v>
      </c>
      <c r="F15" s="10">
        <f t="shared" ref="F15:H15" si="3">SUM(F16)</f>
        <v>0</v>
      </c>
      <c r="G15" s="10">
        <f t="shared" si="3"/>
        <v>0</v>
      </c>
      <c r="H15" s="10">
        <f t="shared" si="3"/>
        <v>0</v>
      </c>
      <c r="I15" s="10">
        <f>SUM(I16)</f>
        <v>0</v>
      </c>
      <c r="J15" s="10">
        <f>SUM(J16)</f>
        <v>0</v>
      </c>
      <c r="K15" s="10">
        <f t="shared" si="1"/>
        <v>0</v>
      </c>
    </row>
    <row r="16" spans="1:11" x14ac:dyDescent="0.2">
      <c r="A16" s="27" t="s">
        <v>14</v>
      </c>
      <c r="B16" s="11"/>
      <c r="C16" s="11"/>
      <c r="D16" s="11"/>
      <c r="E16" s="169"/>
      <c r="F16" s="169"/>
      <c r="G16" s="169"/>
      <c r="H16" s="169"/>
      <c r="J16" s="169"/>
      <c r="K16" s="14">
        <f t="shared" si="1"/>
        <v>0</v>
      </c>
    </row>
    <row r="17" spans="1:11" x14ac:dyDescent="0.2">
      <c r="A17" s="28" t="s">
        <v>15</v>
      </c>
      <c r="B17" s="10"/>
      <c r="C17" s="10">
        <v>0</v>
      </c>
      <c r="D17" s="10">
        <v>16</v>
      </c>
      <c r="E17" s="10">
        <f>SUM(E18:E26)</f>
        <v>0</v>
      </c>
      <c r="F17" s="10">
        <f t="shared" ref="F17:J17" si="4">SUM(F18:F26)</f>
        <v>0</v>
      </c>
      <c r="G17" s="10">
        <f t="shared" si="4"/>
        <v>0</v>
      </c>
      <c r="H17" s="10">
        <f t="shared" si="4"/>
        <v>0</v>
      </c>
      <c r="I17" s="10">
        <f t="shared" si="4"/>
        <v>0</v>
      </c>
      <c r="J17" s="10">
        <f t="shared" si="4"/>
        <v>0</v>
      </c>
      <c r="K17" s="10">
        <f t="shared" si="1"/>
        <v>0</v>
      </c>
    </row>
    <row r="18" spans="1:11" x14ac:dyDescent="0.2">
      <c r="A18" s="27" t="s">
        <v>16</v>
      </c>
      <c r="B18" s="11"/>
      <c r="C18" s="11"/>
      <c r="D18" s="11"/>
      <c r="E18" s="169"/>
      <c r="F18" s="169"/>
      <c r="G18" s="169"/>
      <c r="H18" s="169"/>
      <c r="I18" s="169"/>
      <c r="J18" s="169"/>
      <c r="K18" s="14">
        <f t="shared" si="1"/>
        <v>0</v>
      </c>
    </row>
    <row r="19" spans="1:11" x14ac:dyDescent="0.2">
      <c r="A19" s="27" t="s">
        <v>17</v>
      </c>
      <c r="B19" s="11"/>
      <c r="C19" s="11"/>
      <c r="D19" s="11"/>
      <c r="E19" s="169"/>
      <c r="F19" s="169"/>
      <c r="G19" s="169"/>
      <c r="H19" s="169"/>
      <c r="I19" s="169"/>
      <c r="J19" s="169"/>
      <c r="K19" s="14">
        <f t="shared" si="1"/>
        <v>0</v>
      </c>
    </row>
    <row r="20" spans="1:11" x14ac:dyDescent="0.2">
      <c r="A20" s="27" t="s">
        <v>18</v>
      </c>
      <c r="B20" s="11"/>
      <c r="C20" s="11"/>
      <c r="D20" s="11"/>
      <c r="E20" s="169"/>
      <c r="F20" s="169"/>
      <c r="G20" s="169"/>
      <c r="H20" s="169"/>
      <c r="I20" s="169"/>
      <c r="J20" s="169"/>
      <c r="K20" s="14">
        <f t="shared" si="1"/>
        <v>0</v>
      </c>
    </row>
    <row r="21" spans="1:11" x14ac:dyDescent="0.2">
      <c r="A21" s="27" t="s">
        <v>19</v>
      </c>
      <c r="B21" s="11"/>
      <c r="C21" s="11"/>
      <c r="D21" s="11"/>
      <c r="E21" s="169"/>
      <c r="F21" s="169"/>
      <c r="G21" s="169"/>
      <c r="H21" s="169"/>
      <c r="I21" s="169"/>
      <c r="J21" s="169"/>
      <c r="K21" s="14">
        <f t="shared" si="1"/>
        <v>0</v>
      </c>
    </row>
    <row r="22" spans="1:11" x14ac:dyDescent="0.2">
      <c r="A22" s="29" t="s">
        <v>20</v>
      </c>
      <c r="B22" s="11"/>
      <c r="C22" s="11"/>
      <c r="D22" s="11"/>
      <c r="E22" s="169"/>
      <c r="F22" s="169"/>
      <c r="G22" s="169"/>
      <c r="H22" s="169"/>
      <c r="I22" s="169"/>
      <c r="J22" s="169"/>
      <c r="K22" s="14">
        <f t="shared" si="1"/>
        <v>0</v>
      </c>
    </row>
    <row r="23" spans="1:11" x14ac:dyDescent="0.2">
      <c r="A23" s="29" t="s">
        <v>21</v>
      </c>
      <c r="B23" s="11"/>
      <c r="C23" s="11"/>
      <c r="D23" s="11"/>
      <c r="E23" s="169"/>
      <c r="F23" s="169"/>
      <c r="G23" s="169"/>
      <c r="H23" s="169"/>
      <c r="I23" s="169"/>
      <c r="J23" s="169"/>
      <c r="K23" s="14">
        <f t="shared" si="1"/>
        <v>0</v>
      </c>
    </row>
    <row r="24" spans="1:11" x14ac:dyDescent="0.2">
      <c r="A24" s="29" t="s">
        <v>22</v>
      </c>
      <c r="B24" s="11"/>
      <c r="C24" s="11"/>
      <c r="D24" s="11"/>
      <c r="E24" s="169"/>
      <c r="F24" s="169"/>
      <c r="G24" s="169"/>
      <c r="H24" s="169"/>
      <c r="I24" s="169"/>
      <c r="J24" s="169"/>
      <c r="K24" s="14">
        <f t="shared" si="1"/>
        <v>0</v>
      </c>
    </row>
    <row r="25" spans="1:11" x14ac:dyDescent="0.2">
      <c r="A25" s="29" t="s">
        <v>23</v>
      </c>
      <c r="B25" s="11"/>
      <c r="C25" s="11"/>
      <c r="D25" s="11"/>
      <c r="E25" s="169"/>
      <c r="F25" s="169"/>
      <c r="G25" s="169"/>
      <c r="H25" s="169"/>
      <c r="I25" s="169"/>
      <c r="J25" s="169"/>
      <c r="K25" s="14">
        <f t="shared" si="1"/>
        <v>0</v>
      </c>
    </row>
    <row r="26" spans="1:11" x14ac:dyDescent="0.2">
      <c r="A26" s="27" t="s">
        <v>24</v>
      </c>
      <c r="B26" s="11"/>
      <c r="C26" s="11"/>
      <c r="D26" s="11"/>
      <c r="E26" s="169"/>
      <c r="F26" s="169"/>
      <c r="G26" s="169"/>
      <c r="H26" s="169"/>
      <c r="I26" s="169"/>
      <c r="J26" s="169"/>
      <c r="K26" s="14">
        <f t="shared" si="1"/>
        <v>0</v>
      </c>
    </row>
    <row r="27" spans="1:11" x14ac:dyDescent="0.2">
      <c r="A27" s="28" t="s">
        <v>25</v>
      </c>
      <c r="B27" s="10">
        <v>24017</v>
      </c>
      <c r="C27" s="10">
        <v>0.9</v>
      </c>
      <c r="D27" s="10">
        <v>1</v>
      </c>
      <c r="E27" s="10">
        <f>SUM(E28:E33)</f>
        <v>0</v>
      </c>
      <c r="F27" s="10">
        <f t="shared" ref="F27:J27" si="5">SUM(F28:F33)</f>
        <v>37760</v>
      </c>
      <c r="G27" s="10">
        <f t="shared" si="5"/>
        <v>0</v>
      </c>
      <c r="H27" s="10">
        <f t="shared" si="5"/>
        <v>125080</v>
      </c>
      <c r="I27" s="10">
        <f t="shared" si="5"/>
        <v>27935</v>
      </c>
      <c r="J27" s="10">
        <f t="shared" si="5"/>
        <v>0</v>
      </c>
      <c r="K27" s="10">
        <f t="shared" si="1"/>
        <v>190775</v>
      </c>
    </row>
    <row r="28" spans="1:11" x14ac:dyDescent="0.2">
      <c r="A28" s="27" t="s">
        <v>26</v>
      </c>
      <c r="B28" s="11"/>
      <c r="C28" s="11"/>
      <c r="D28" s="11"/>
      <c r="E28" s="15"/>
      <c r="F28" s="16"/>
      <c r="G28" s="15"/>
      <c r="H28" s="17"/>
      <c r="I28" s="18"/>
      <c r="J28" s="19"/>
      <c r="K28" s="19">
        <f t="shared" si="1"/>
        <v>0</v>
      </c>
    </row>
    <row r="29" spans="1:11" x14ac:dyDescent="0.2">
      <c r="A29" s="27" t="s">
        <v>27</v>
      </c>
      <c r="B29" s="11"/>
      <c r="C29" s="11"/>
      <c r="D29" s="11"/>
      <c r="E29" s="16"/>
      <c r="F29" s="16"/>
      <c r="G29" s="15"/>
      <c r="H29" s="16"/>
      <c r="I29" s="19"/>
      <c r="J29" s="19"/>
      <c r="K29" s="19">
        <f t="shared" si="1"/>
        <v>0</v>
      </c>
    </row>
    <row r="30" spans="1:11" x14ac:dyDescent="0.2">
      <c r="A30" s="27" t="s">
        <v>28</v>
      </c>
      <c r="B30" s="11"/>
      <c r="C30" s="11"/>
      <c r="D30" s="11"/>
      <c r="E30" s="16"/>
      <c r="F30" s="16"/>
      <c r="G30" s="15"/>
      <c r="H30" s="16"/>
      <c r="I30" s="19"/>
      <c r="J30" s="19"/>
      <c r="K30" s="19">
        <f t="shared" si="1"/>
        <v>0</v>
      </c>
    </row>
    <row r="31" spans="1:11" x14ac:dyDescent="0.2">
      <c r="A31" s="27" t="s">
        <v>29</v>
      </c>
      <c r="B31" s="11"/>
      <c r="C31" s="11"/>
      <c r="D31" s="11"/>
      <c r="E31" s="16"/>
      <c r="F31" s="16"/>
      <c r="G31" s="15"/>
      <c r="H31" s="17">
        <v>125080</v>
      </c>
      <c r="I31" s="18"/>
      <c r="J31" s="19"/>
      <c r="K31" s="19"/>
    </row>
    <row r="32" spans="1:11" x14ac:dyDescent="0.2">
      <c r="A32" s="30" t="s">
        <v>30</v>
      </c>
      <c r="B32" s="11"/>
      <c r="C32" s="11"/>
      <c r="D32" s="11"/>
      <c r="E32" s="16"/>
      <c r="F32" s="16">
        <v>37760</v>
      </c>
      <c r="G32" s="15"/>
      <c r="H32" s="18"/>
      <c r="I32" s="19">
        <v>27935</v>
      </c>
      <c r="J32" s="19"/>
      <c r="K32" s="19"/>
    </row>
    <row r="33" spans="1:12" x14ac:dyDescent="0.2">
      <c r="A33" s="27" t="s">
        <v>31</v>
      </c>
      <c r="B33" s="11"/>
      <c r="C33" s="11"/>
      <c r="D33" s="11"/>
      <c r="E33" s="16"/>
      <c r="F33" s="16"/>
      <c r="G33" s="15"/>
      <c r="H33" s="17"/>
      <c r="I33" s="18"/>
      <c r="J33" s="19"/>
      <c r="K33" s="19">
        <f t="shared" si="1"/>
        <v>0</v>
      </c>
    </row>
    <row r="34" spans="1:12" x14ac:dyDescent="0.2">
      <c r="A34" s="28" t="s">
        <v>32</v>
      </c>
      <c r="B34" s="10"/>
      <c r="C34" s="10">
        <v>0</v>
      </c>
      <c r="D34" s="10">
        <v>14</v>
      </c>
      <c r="E34" s="10">
        <f>SUM(E35:E38)</f>
        <v>0</v>
      </c>
      <c r="F34" s="10">
        <f t="shared" ref="F34:J34" si="6">SUM(F35:F38)</f>
        <v>325090</v>
      </c>
      <c r="G34" s="10">
        <f t="shared" si="6"/>
        <v>0</v>
      </c>
      <c r="H34" s="10">
        <f t="shared" si="6"/>
        <v>0</v>
      </c>
      <c r="I34" s="10">
        <f t="shared" si="6"/>
        <v>0</v>
      </c>
      <c r="J34" s="10">
        <f t="shared" si="6"/>
        <v>0</v>
      </c>
      <c r="K34" s="10">
        <f t="shared" si="1"/>
        <v>325090</v>
      </c>
    </row>
    <row r="35" spans="1:12" x14ac:dyDescent="0.2">
      <c r="A35" s="27" t="s">
        <v>33</v>
      </c>
      <c r="B35" s="11"/>
      <c r="C35" s="11"/>
      <c r="D35" s="11"/>
      <c r="E35" s="16"/>
      <c r="F35" s="16"/>
      <c r="G35" s="15"/>
      <c r="H35" s="20"/>
      <c r="I35" s="18"/>
      <c r="J35" s="15"/>
      <c r="K35" s="15">
        <f t="shared" si="1"/>
        <v>0</v>
      </c>
    </row>
    <row r="36" spans="1:12" x14ac:dyDescent="0.2">
      <c r="A36" s="27" t="s">
        <v>34</v>
      </c>
      <c r="B36" s="11"/>
      <c r="C36" s="11"/>
      <c r="D36" s="11"/>
      <c r="E36" s="19"/>
      <c r="F36" s="19"/>
      <c r="G36" s="19"/>
      <c r="H36" s="19"/>
      <c r="J36" s="19"/>
      <c r="K36" s="19">
        <f t="shared" si="1"/>
        <v>0</v>
      </c>
    </row>
    <row r="37" spans="1:12" x14ac:dyDescent="0.2">
      <c r="A37" s="27" t="s">
        <v>35</v>
      </c>
      <c r="B37" s="11"/>
      <c r="C37" s="11"/>
      <c r="D37" s="11"/>
      <c r="E37" s="19"/>
      <c r="F37" s="19">
        <f>41890+283200</f>
        <v>325090</v>
      </c>
      <c r="G37" s="19"/>
      <c r="H37" s="19"/>
      <c r="I37" s="19"/>
      <c r="J37" s="19"/>
      <c r="K37" s="19">
        <f t="shared" si="1"/>
        <v>325090</v>
      </c>
    </row>
    <row r="38" spans="1:12" x14ac:dyDescent="0.2">
      <c r="A38" s="27" t="s">
        <v>36</v>
      </c>
      <c r="B38" s="11"/>
      <c r="C38" s="11"/>
      <c r="D38" s="11"/>
      <c r="E38" s="19"/>
      <c r="F38" s="16"/>
      <c r="G38" s="16"/>
      <c r="H38" s="16"/>
      <c r="I38" s="16"/>
      <c r="J38" s="16"/>
      <c r="K38" s="16">
        <f t="shared" si="1"/>
        <v>0</v>
      </c>
    </row>
    <row r="39" spans="1:12" x14ac:dyDescent="0.2">
      <c r="A39" s="28" t="s">
        <v>37</v>
      </c>
      <c r="B39" s="10"/>
      <c r="C39" s="10">
        <v>0</v>
      </c>
      <c r="D39" s="10"/>
      <c r="E39" s="10">
        <f>SUM(E40)</f>
        <v>0</v>
      </c>
      <c r="F39" s="10">
        <f t="shared" ref="F39:J39" si="7">SUM(F40)</f>
        <v>0</v>
      </c>
      <c r="G39" s="10">
        <f t="shared" si="7"/>
        <v>0</v>
      </c>
      <c r="H39" s="10">
        <f t="shared" si="7"/>
        <v>0</v>
      </c>
      <c r="I39" s="10">
        <f t="shared" si="7"/>
        <v>0</v>
      </c>
      <c r="J39" s="10">
        <f t="shared" si="7"/>
        <v>0</v>
      </c>
      <c r="K39" s="10">
        <f t="shared" si="1"/>
        <v>0</v>
      </c>
    </row>
    <row r="40" spans="1:12" x14ac:dyDescent="0.2">
      <c r="A40" s="27" t="s">
        <v>38</v>
      </c>
      <c r="B40" s="11"/>
      <c r="C40" s="11"/>
      <c r="D40" s="11"/>
      <c r="E40" s="16"/>
      <c r="F40" s="16"/>
      <c r="G40" s="15"/>
      <c r="H40" s="20"/>
      <c r="I40" s="20"/>
      <c r="J40" s="18"/>
      <c r="K40" s="18">
        <f t="shared" si="1"/>
        <v>0</v>
      </c>
    </row>
    <row r="41" spans="1:12" x14ac:dyDescent="0.2">
      <c r="A41" s="28" t="s">
        <v>39</v>
      </c>
      <c r="B41" s="10"/>
      <c r="C41" s="10"/>
      <c r="D41" s="10"/>
      <c r="E41" s="10">
        <f>SUM(E42)</f>
        <v>0</v>
      </c>
      <c r="F41" s="10">
        <f t="shared" ref="F41:J41" si="8">SUM(F42)</f>
        <v>0</v>
      </c>
      <c r="G41" s="10">
        <f t="shared" si="8"/>
        <v>0</v>
      </c>
      <c r="H41" s="10">
        <f t="shared" si="8"/>
        <v>6018000</v>
      </c>
      <c r="I41" s="10">
        <f t="shared" si="8"/>
        <v>0</v>
      </c>
      <c r="J41" s="10">
        <f t="shared" si="8"/>
        <v>0</v>
      </c>
      <c r="K41" s="10">
        <f t="shared" si="1"/>
        <v>6018000</v>
      </c>
    </row>
    <row r="42" spans="1:12" x14ac:dyDescent="0.2">
      <c r="A42" s="27" t="s">
        <v>40</v>
      </c>
      <c r="B42" s="11"/>
      <c r="C42" s="11"/>
      <c r="D42" s="11"/>
      <c r="E42" s="16"/>
      <c r="F42" s="16"/>
      <c r="G42" s="15"/>
      <c r="H42" s="18">
        <v>6018000</v>
      </c>
      <c r="I42" s="20"/>
      <c r="J42" s="18"/>
      <c r="K42" s="18">
        <f t="shared" si="1"/>
        <v>6018000</v>
      </c>
    </row>
    <row r="43" spans="1:12" x14ac:dyDescent="0.2">
      <c r="A43" s="28" t="s">
        <v>41</v>
      </c>
      <c r="B43" s="10">
        <v>62341</v>
      </c>
      <c r="C43" s="10">
        <v>2.63</v>
      </c>
      <c r="D43" s="10">
        <v>11</v>
      </c>
      <c r="E43" s="10">
        <f>SUM(E44:E49)</f>
        <v>0</v>
      </c>
      <c r="F43" s="10">
        <f t="shared" ref="F43:J43" si="9">SUM(F44:F49)</f>
        <v>0</v>
      </c>
      <c r="G43" s="10">
        <f t="shared" si="9"/>
        <v>0</v>
      </c>
      <c r="H43" s="10">
        <f t="shared" si="9"/>
        <v>0</v>
      </c>
      <c r="I43" s="10">
        <f t="shared" si="9"/>
        <v>0</v>
      </c>
      <c r="J43" s="10">
        <f t="shared" si="9"/>
        <v>0</v>
      </c>
      <c r="K43" s="10">
        <f t="shared" si="1"/>
        <v>0</v>
      </c>
    </row>
    <row r="44" spans="1:12" x14ac:dyDescent="0.2">
      <c r="A44" s="30" t="s">
        <v>42</v>
      </c>
      <c r="B44" s="21"/>
      <c r="C44" s="21"/>
      <c r="D44" s="21"/>
      <c r="E44" s="19"/>
      <c r="F44" s="19"/>
      <c r="G44" s="19"/>
      <c r="H44" s="19"/>
      <c r="I44" s="19"/>
      <c r="J44" s="19"/>
      <c r="K44" s="19">
        <f t="shared" si="1"/>
        <v>0</v>
      </c>
      <c r="L44" s="2"/>
    </row>
    <row r="45" spans="1:12" x14ac:dyDescent="0.2">
      <c r="A45" s="30" t="s">
        <v>44</v>
      </c>
      <c r="B45" s="21"/>
      <c r="C45" s="21"/>
      <c r="D45" s="21"/>
      <c r="E45" s="22"/>
      <c r="F45" s="19"/>
      <c r="G45" s="19"/>
      <c r="H45" s="19"/>
      <c r="I45" s="19"/>
      <c r="J45" s="23"/>
      <c r="K45" s="23">
        <f t="shared" si="1"/>
        <v>0</v>
      </c>
    </row>
    <row r="46" spans="1:12" x14ac:dyDescent="0.2">
      <c r="A46" s="30" t="s">
        <v>46</v>
      </c>
      <c r="B46" s="21"/>
      <c r="C46" s="21"/>
      <c r="D46" s="21"/>
      <c r="E46" s="19"/>
      <c r="F46" s="19"/>
      <c r="G46" s="19"/>
      <c r="H46" s="19"/>
      <c r="I46" s="19"/>
      <c r="J46" s="19"/>
      <c r="K46" s="19">
        <f t="shared" si="1"/>
        <v>0</v>
      </c>
    </row>
    <row r="47" spans="1:12" x14ac:dyDescent="0.2">
      <c r="A47" s="30" t="s">
        <v>48</v>
      </c>
      <c r="B47" s="21"/>
      <c r="C47" s="21"/>
      <c r="D47" s="21"/>
      <c r="E47" s="19"/>
      <c r="F47" s="19"/>
      <c r="G47" s="170"/>
      <c r="H47" s="19"/>
      <c r="I47" s="19"/>
      <c r="J47" s="19"/>
      <c r="K47" s="19">
        <f t="shared" si="1"/>
        <v>0</v>
      </c>
    </row>
    <row r="48" spans="1:12" x14ac:dyDescent="0.2">
      <c r="A48" s="30" t="s">
        <v>50</v>
      </c>
      <c r="B48" s="21"/>
      <c r="C48" s="21"/>
      <c r="D48" s="21"/>
      <c r="E48" s="19"/>
      <c r="F48" s="19"/>
      <c r="G48" s="19"/>
      <c r="H48" s="19"/>
      <c r="I48" s="19"/>
      <c r="J48" s="19"/>
      <c r="K48" s="19">
        <f t="shared" si="1"/>
        <v>0</v>
      </c>
    </row>
    <row r="49" spans="1:11" x14ac:dyDescent="0.2">
      <c r="A49" s="30" t="s">
        <v>52</v>
      </c>
      <c r="B49" s="21"/>
      <c r="C49" s="21"/>
      <c r="D49" s="21"/>
      <c r="E49" s="19"/>
      <c r="F49" s="19"/>
      <c r="G49" s="19"/>
      <c r="H49" s="19"/>
      <c r="I49" s="19"/>
      <c r="J49" s="19"/>
      <c r="K49" s="19">
        <f t="shared" si="1"/>
        <v>0</v>
      </c>
    </row>
    <row r="50" spans="1:11" x14ac:dyDescent="0.2">
      <c r="A50" s="28" t="s">
        <v>43</v>
      </c>
      <c r="B50" s="10"/>
      <c r="C50" s="10"/>
      <c r="D50" s="10"/>
      <c r="E50" s="10">
        <f>SUM(E51:E54)</f>
        <v>0</v>
      </c>
      <c r="F50" s="10">
        <f t="shared" ref="F50:I50" si="10">SUM(F51:F54)</f>
        <v>0</v>
      </c>
      <c r="G50" s="10">
        <f t="shared" si="10"/>
        <v>0</v>
      </c>
      <c r="H50" s="10">
        <f t="shared" si="10"/>
        <v>904775.27</v>
      </c>
      <c r="I50" s="10">
        <f t="shared" si="10"/>
        <v>4753956.46</v>
      </c>
      <c r="J50" s="10">
        <f>SUM(J51:J54)</f>
        <v>0</v>
      </c>
      <c r="K50" s="10">
        <f t="shared" si="1"/>
        <v>5658731.7300000004</v>
      </c>
    </row>
    <row r="51" spans="1:11" x14ac:dyDescent="0.2">
      <c r="A51" s="30" t="s">
        <v>47</v>
      </c>
      <c r="B51" s="21"/>
      <c r="C51" s="21"/>
      <c r="D51" s="21"/>
      <c r="E51" s="19"/>
      <c r="F51" s="19"/>
      <c r="G51" s="19"/>
      <c r="H51" s="19"/>
      <c r="I51" s="19"/>
      <c r="J51" s="19"/>
      <c r="K51" s="19">
        <f t="shared" si="1"/>
        <v>0</v>
      </c>
    </row>
    <row r="52" spans="1:11" x14ac:dyDescent="0.2">
      <c r="A52" s="30" t="s">
        <v>45</v>
      </c>
      <c r="B52" s="21"/>
      <c r="C52" s="21"/>
      <c r="D52" s="21"/>
      <c r="E52" s="19"/>
      <c r="F52" s="19"/>
      <c r="G52" s="19"/>
      <c r="H52" s="19">
        <f>166489.27+738286</f>
        <v>904775.27</v>
      </c>
      <c r="I52" s="20">
        <f>4578+117878.46+4631500</f>
        <v>4753956.46</v>
      </c>
      <c r="J52" s="19"/>
      <c r="K52" s="19">
        <f t="shared" si="1"/>
        <v>5658731.7300000004</v>
      </c>
    </row>
    <row r="53" spans="1:11" x14ac:dyDescent="0.2">
      <c r="A53" s="30" t="s">
        <v>49</v>
      </c>
      <c r="B53" s="21"/>
      <c r="C53" s="21"/>
      <c r="D53" s="21"/>
      <c r="E53" s="19"/>
      <c r="F53" s="19"/>
      <c r="H53" s="19"/>
      <c r="I53" s="20"/>
      <c r="J53" s="19"/>
      <c r="K53" s="19">
        <f t="shared" si="1"/>
        <v>0</v>
      </c>
    </row>
    <row r="54" spans="1:11" x14ac:dyDescent="0.2">
      <c r="A54" s="30" t="s">
        <v>51</v>
      </c>
      <c r="B54" s="21"/>
      <c r="C54" s="21"/>
      <c r="D54" s="21"/>
      <c r="E54" s="19"/>
      <c r="F54" s="19"/>
      <c r="G54" s="19"/>
      <c r="H54" s="19"/>
      <c r="I54" s="20"/>
      <c r="J54" s="19"/>
      <c r="K54" s="19">
        <f t="shared" si="1"/>
        <v>0</v>
      </c>
    </row>
    <row r="55" spans="1:11" s="2" customFormat="1" ht="15" x14ac:dyDescent="0.2">
      <c r="A55" s="28" t="s">
        <v>53</v>
      </c>
      <c r="B55" s="11"/>
      <c r="C55" s="11"/>
      <c r="D55" s="11"/>
      <c r="E55" s="10">
        <f>SUM(E56:E67)</f>
        <v>0</v>
      </c>
      <c r="F55" s="10">
        <f t="shared" ref="F55:J55" si="11">SUM(F56:F67)</f>
        <v>0</v>
      </c>
      <c r="G55" s="10">
        <f t="shared" si="11"/>
        <v>0</v>
      </c>
      <c r="H55" s="10">
        <f t="shared" si="11"/>
        <v>448400</v>
      </c>
      <c r="I55" s="10">
        <f t="shared" si="11"/>
        <v>0</v>
      </c>
      <c r="J55" s="10">
        <f t="shared" si="11"/>
        <v>0</v>
      </c>
      <c r="K55" s="10">
        <f t="shared" si="1"/>
        <v>448400</v>
      </c>
    </row>
    <row r="56" spans="1:11" x14ac:dyDescent="0.2">
      <c r="A56" s="27" t="s">
        <v>54</v>
      </c>
      <c r="B56" s="11"/>
      <c r="C56" s="11"/>
      <c r="D56" s="11"/>
      <c r="E56" s="18"/>
      <c r="F56" s="18"/>
      <c r="G56" s="18"/>
      <c r="H56" s="18"/>
      <c r="I56" s="18"/>
      <c r="J56" s="18"/>
      <c r="K56" s="18">
        <f t="shared" si="1"/>
        <v>0</v>
      </c>
    </row>
    <row r="57" spans="1:11" x14ac:dyDescent="0.2">
      <c r="A57" s="27" t="s">
        <v>55</v>
      </c>
      <c r="B57" s="11"/>
      <c r="C57" s="11"/>
      <c r="D57" s="11"/>
      <c r="E57" s="18"/>
      <c r="F57" s="18"/>
      <c r="G57" s="18"/>
      <c r="H57" s="18"/>
      <c r="I57" s="18"/>
      <c r="J57" s="18"/>
      <c r="K57" s="18">
        <f t="shared" si="1"/>
        <v>0</v>
      </c>
    </row>
    <row r="58" spans="1:11" x14ac:dyDescent="0.2">
      <c r="A58" s="27" t="s">
        <v>56</v>
      </c>
      <c r="B58" s="11"/>
      <c r="C58" s="11"/>
      <c r="D58" s="11"/>
      <c r="E58" s="18"/>
      <c r="F58" s="18"/>
      <c r="G58" s="18"/>
      <c r="H58" s="18"/>
      <c r="I58" s="18"/>
      <c r="J58" s="18"/>
      <c r="K58" s="18">
        <f t="shared" si="1"/>
        <v>0</v>
      </c>
    </row>
    <row r="59" spans="1:11" x14ac:dyDescent="0.2">
      <c r="A59" s="27" t="s">
        <v>57</v>
      </c>
      <c r="B59" s="11"/>
      <c r="C59" s="11"/>
      <c r="D59" s="11"/>
      <c r="E59" s="18"/>
      <c r="F59" s="18"/>
      <c r="G59" s="18"/>
      <c r="H59" s="18">
        <v>448400</v>
      </c>
      <c r="I59" s="18"/>
      <c r="J59" s="18"/>
      <c r="K59" s="18">
        <f t="shared" si="1"/>
        <v>448400</v>
      </c>
    </row>
    <row r="60" spans="1:11" x14ac:dyDescent="0.2">
      <c r="A60" s="27" t="s">
        <v>58</v>
      </c>
      <c r="B60" s="11"/>
      <c r="C60" s="11"/>
      <c r="D60" s="11"/>
      <c r="E60" s="18"/>
      <c r="F60" s="18"/>
      <c r="G60" s="18"/>
      <c r="H60" s="18"/>
      <c r="I60" s="18"/>
      <c r="J60" s="18"/>
      <c r="K60" s="18">
        <f t="shared" si="1"/>
        <v>0</v>
      </c>
    </row>
    <row r="61" spans="1:11" x14ac:dyDescent="0.2">
      <c r="A61" s="27" t="s">
        <v>59</v>
      </c>
      <c r="B61" s="11"/>
      <c r="C61" s="11"/>
      <c r="D61" s="11"/>
      <c r="E61" s="16"/>
      <c r="F61" s="16"/>
      <c r="G61" s="15"/>
      <c r="H61" s="18"/>
      <c r="I61" s="18"/>
      <c r="J61" s="18"/>
      <c r="K61" s="18">
        <f t="shared" si="1"/>
        <v>0</v>
      </c>
    </row>
    <row r="62" spans="1:11" x14ac:dyDescent="0.2">
      <c r="A62" s="27" t="s">
        <v>60</v>
      </c>
      <c r="B62" s="11"/>
      <c r="C62" s="11"/>
      <c r="D62" s="11"/>
      <c r="E62" s="16"/>
      <c r="F62" s="16"/>
      <c r="G62" s="15"/>
      <c r="H62" s="18"/>
      <c r="I62" s="18"/>
      <c r="J62" s="18"/>
      <c r="K62" s="18">
        <f t="shared" si="1"/>
        <v>0</v>
      </c>
    </row>
    <row r="63" spans="1:11" x14ac:dyDescent="0.2">
      <c r="A63" s="27" t="s">
        <v>61</v>
      </c>
      <c r="B63" s="11"/>
      <c r="C63" s="11"/>
      <c r="D63" s="11"/>
      <c r="E63" s="18"/>
      <c r="F63" s="18"/>
      <c r="G63" s="18"/>
      <c r="H63" s="18"/>
      <c r="I63" s="18"/>
      <c r="J63" s="18"/>
      <c r="K63" s="18">
        <f t="shared" si="1"/>
        <v>0</v>
      </c>
    </row>
    <row r="64" spans="1:11" x14ac:dyDescent="0.2">
      <c r="A64" s="27" t="s">
        <v>62</v>
      </c>
      <c r="B64" s="11"/>
      <c r="C64" s="11"/>
      <c r="D64" s="11"/>
      <c r="E64" s="16"/>
      <c r="F64" s="16"/>
      <c r="G64" s="16"/>
      <c r="H64" s="23"/>
      <c r="I64" s="18"/>
      <c r="J64" s="18"/>
      <c r="K64" s="18">
        <f t="shared" si="1"/>
        <v>0</v>
      </c>
    </row>
    <row r="65" spans="1:11" x14ac:dyDescent="0.2">
      <c r="A65" s="27" t="s">
        <v>63</v>
      </c>
      <c r="B65" s="11"/>
      <c r="C65" s="11"/>
      <c r="D65" s="11"/>
      <c r="E65" s="16"/>
      <c r="F65" s="16"/>
      <c r="G65" s="15"/>
      <c r="H65" s="18"/>
      <c r="I65" s="18"/>
      <c r="J65" s="18"/>
      <c r="K65" s="18">
        <f t="shared" si="1"/>
        <v>0</v>
      </c>
    </row>
    <row r="66" spans="1:11" x14ac:dyDescent="0.2">
      <c r="A66" s="27" t="s">
        <v>64</v>
      </c>
      <c r="B66" s="11"/>
      <c r="C66" s="11"/>
      <c r="D66" s="11"/>
      <c r="E66" s="16"/>
      <c r="F66" s="16"/>
      <c r="G66" s="16"/>
      <c r="H66" s="16"/>
      <c r="I66" s="18"/>
      <c r="J66" s="18"/>
      <c r="K66" s="18">
        <f t="shared" si="1"/>
        <v>0</v>
      </c>
    </row>
    <row r="67" spans="1:11" x14ac:dyDescent="0.2">
      <c r="A67" s="27" t="s">
        <v>65</v>
      </c>
      <c r="B67" s="11"/>
      <c r="C67" s="11"/>
      <c r="D67" s="11"/>
      <c r="E67" s="16"/>
      <c r="F67" s="16"/>
      <c r="G67" s="16"/>
      <c r="H67" s="18"/>
      <c r="I67" s="18"/>
      <c r="J67" s="18"/>
      <c r="K67" s="18">
        <f t="shared" si="1"/>
        <v>0</v>
      </c>
    </row>
    <row r="68" spans="1:11" x14ac:dyDescent="0.2">
      <c r="A68" s="31" t="s">
        <v>66</v>
      </c>
      <c r="B68" s="10"/>
      <c r="C68" s="10"/>
      <c r="D68" s="10"/>
      <c r="E68" s="10">
        <f>SUM(E69:E85)</f>
        <v>0</v>
      </c>
      <c r="F68" s="10">
        <f t="shared" ref="F68:J68" si="12">SUM(F69:F85)</f>
        <v>0</v>
      </c>
      <c r="G68" s="10">
        <f t="shared" si="12"/>
        <v>2177250</v>
      </c>
      <c r="H68" s="10">
        <f t="shared" si="12"/>
        <v>200170</v>
      </c>
      <c r="I68" s="10">
        <f t="shared" si="12"/>
        <v>0</v>
      </c>
      <c r="J68" s="10">
        <f t="shared" si="12"/>
        <v>0</v>
      </c>
      <c r="K68" s="10">
        <f t="shared" ref="K68:K98" si="13">SUM(E68:J68)</f>
        <v>2377420</v>
      </c>
    </row>
    <row r="69" spans="1:11" x14ac:dyDescent="0.2">
      <c r="A69" s="29" t="s">
        <v>67</v>
      </c>
      <c r="B69" s="21"/>
      <c r="C69" s="21"/>
      <c r="D69" s="21"/>
      <c r="E69" s="19"/>
      <c r="F69" s="19"/>
      <c r="G69" s="19"/>
      <c r="H69" s="19"/>
      <c r="I69" s="19"/>
      <c r="J69" s="19"/>
      <c r="K69" s="19">
        <f t="shared" si="13"/>
        <v>0</v>
      </c>
    </row>
    <row r="70" spans="1:11" x14ac:dyDescent="0.2">
      <c r="A70" s="29" t="s">
        <v>68</v>
      </c>
      <c r="B70" s="21"/>
      <c r="C70" s="21"/>
      <c r="D70" s="21"/>
      <c r="E70" s="19"/>
      <c r="F70" s="19"/>
      <c r="G70" s="19"/>
      <c r="H70" s="19">
        <v>141600</v>
      </c>
      <c r="I70" s="19"/>
      <c r="J70" s="19"/>
      <c r="K70" s="19">
        <f t="shared" si="13"/>
        <v>141600</v>
      </c>
    </row>
    <row r="71" spans="1:11" x14ac:dyDescent="0.2">
      <c r="A71" s="29" t="s">
        <v>69</v>
      </c>
      <c r="B71" s="21"/>
      <c r="C71" s="21"/>
      <c r="D71" s="21"/>
      <c r="E71" s="19"/>
      <c r="F71" s="19"/>
      <c r="G71" s="19"/>
      <c r="H71" s="19"/>
      <c r="I71" s="19"/>
      <c r="J71" s="19"/>
      <c r="K71" s="19">
        <f t="shared" si="13"/>
        <v>0</v>
      </c>
    </row>
    <row r="72" spans="1:11" x14ac:dyDescent="0.2">
      <c r="A72" s="29" t="s">
        <v>70</v>
      </c>
      <c r="B72" s="21"/>
      <c r="C72" s="21"/>
      <c r="D72" s="21"/>
      <c r="E72" s="19"/>
      <c r="F72" s="19"/>
      <c r="G72" s="19"/>
      <c r="H72" s="19"/>
      <c r="I72" s="19"/>
      <c r="J72" s="19"/>
      <c r="K72" s="19">
        <f t="shared" si="13"/>
        <v>0</v>
      </c>
    </row>
    <row r="73" spans="1:11" x14ac:dyDescent="0.2">
      <c r="A73" s="29" t="s">
        <v>71</v>
      </c>
      <c r="B73" s="21"/>
      <c r="C73" s="21"/>
      <c r="D73" s="21"/>
      <c r="E73" s="19"/>
      <c r="F73" s="19"/>
      <c r="G73" s="19"/>
      <c r="H73" s="19"/>
      <c r="I73" s="19"/>
      <c r="J73" s="19"/>
      <c r="K73" s="19">
        <f t="shared" si="13"/>
        <v>0</v>
      </c>
    </row>
    <row r="74" spans="1:11" x14ac:dyDescent="0.2">
      <c r="A74" s="29" t="s">
        <v>72</v>
      </c>
      <c r="B74" s="21"/>
      <c r="C74" s="21"/>
      <c r="D74" s="21"/>
      <c r="E74" s="19"/>
      <c r="F74" s="19"/>
      <c r="G74" s="19">
        <v>2147250</v>
      </c>
      <c r="H74" s="19"/>
      <c r="I74" s="19"/>
      <c r="J74" s="19"/>
      <c r="K74" s="19">
        <f t="shared" si="13"/>
        <v>2147250</v>
      </c>
    </row>
    <row r="75" spans="1:11" x14ac:dyDescent="0.2">
      <c r="A75" s="29" t="s">
        <v>73</v>
      </c>
      <c r="B75" s="21"/>
      <c r="C75" s="21"/>
      <c r="D75" s="21"/>
      <c r="E75" s="19"/>
      <c r="F75" s="19"/>
      <c r="G75" s="19"/>
      <c r="H75" s="19"/>
      <c r="I75" s="19"/>
      <c r="J75" s="19"/>
      <c r="K75" s="19">
        <f t="shared" si="13"/>
        <v>0</v>
      </c>
    </row>
    <row r="76" spans="1:11" x14ac:dyDescent="0.2">
      <c r="A76" s="29" t="s">
        <v>74</v>
      </c>
      <c r="B76" s="21"/>
      <c r="C76" s="21"/>
      <c r="D76" s="21"/>
      <c r="E76" s="19"/>
      <c r="F76" s="19"/>
      <c r="G76" s="19">
        <v>30000</v>
      </c>
      <c r="H76" s="19"/>
      <c r="I76" s="19"/>
      <c r="J76" s="19"/>
      <c r="K76" s="19">
        <f t="shared" si="13"/>
        <v>30000</v>
      </c>
    </row>
    <row r="77" spans="1:11" x14ac:dyDescent="0.2">
      <c r="A77" s="29" t="s">
        <v>75</v>
      </c>
      <c r="B77" s="21"/>
      <c r="C77" s="21"/>
      <c r="D77" s="21"/>
      <c r="E77" s="19"/>
      <c r="F77" s="19"/>
      <c r="G77" s="19"/>
      <c r="H77" s="19"/>
      <c r="I77" s="24"/>
      <c r="J77" s="19"/>
      <c r="K77" s="19">
        <f t="shared" si="13"/>
        <v>0</v>
      </c>
    </row>
    <row r="78" spans="1:11" x14ac:dyDescent="0.2">
      <c r="A78" s="29" t="s">
        <v>76</v>
      </c>
      <c r="B78" s="21"/>
      <c r="C78" s="21"/>
      <c r="D78" s="21"/>
      <c r="E78" s="19"/>
      <c r="F78" s="19"/>
      <c r="G78" s="19"/>
      <c r="H78" s="19"/>
      <c r="I78" s="19"/>
      <c r="J78" s="19"/>
      <c r="K78" s="19">
        <f t="shared" si="13"/>
        <v>0</v>
      </c>
    </row>
    <row r="79" spans="1:11" x14ac:dyDescent="0.2">
      <c r="A79" s="29" t="s">
        <v>62</v>
      </c>
      <c r="B79" s="21"/>
      <c r="C79" s="21"/>
      <c r="D79" s="21"/>
      <c r="E79" s="19"/>
      <c r="F79" s="19"/>
      <c r="G79" s="19"/>
      <c r="H79" s="19">
        <v>58570</v>
      </c>
      <c r="I79" s="19"/>
      <c r="J79" s="19"/>
      <c r="K79" s="19">
        <f t="shared" si="13"/>
        <v>58570</v>
      </c>
    </row>
    <row r="80" spans="1:11" x14ac:dyDescent="0.2">
      <c r="A80" s="29" t="s">
        <v>77</v>
      </c>
      <c r="B80" s="21"/>
      <c r="C80" s="21"/>
      <c r="D80" s="21"/>
      <c r="E80" s="19"/>
      <c r="F80" s="19"/>
      <c r="G80" s="19"/>
      <c r="H80" s="19"/>
      <c r="I80" s="19"/>
      <c r="J80" s="19"/>
      <c r="K80" s="19">
        <f t="shared" si="13"/>
        <v>0</v>
      </c>
    </row>
    <row r="81" spans="1:11" x14ac:dyDescent="0.2">
      <c r="A81" s="29" t="s">
        <v>78</v>
      </c>
      <c r="B81" s="21"/>
      <c r="C81" s="21"/>
      <c r="D81" s="21"/>
      <c r="E81" s="19"/>
      <c r="F81" s="19"/>
      <c r="G81" s="19"/>
      <c r="H81" s="19"/>
      <c r="I81" s="19"/>
      <c r="J81" s="19"/>
      <c r="K81" s="19">
        <f t="shared" si="13"/>
        <v>0</v>
      </c>
    </row>
    <row r="82" spans="1:11" x14ac:dyDescent="0.2">
      <c r="A82" s="29" t="s">
        <v>79</v>
      </c>
      <c r="B82" s="21"/>
      <c r="C82" s="21"/>
      <c r="D82" s="21"/>
      <c r="E82" s="19"/>
      <c r="F82" s="19"/>
      <c r="G82" s="19"/>
      <c r="H82" s="19"/>
      <c r="I82" s="19"/>
      <c r="J82" s="19"/>
      <c r="K82" s="19">
        <f t="shared" si="13"/>
        <v>0</v>
      </c>
    </row>
    <row r="83" spans="1:11" x14ac:dyDescent="0.2">
      <c r="A83" s="29" t="s">
        <v>80</v>
      </c>
      <c r="B83" s="21"/>
      <c r="C83" s="21"/>
      <c r="D83" s="21"/>
      <c r="E83" s="19"/>
      <c r="F83" s="19"/>
      <c r="G83" s="19"/>
      <c r="H83" s="19"/>
      <c r="I83" s="19"/>
      <c r="J83" s="19"/>
      <c r="K83" s="19">
        <f t="shared" si="13"/>
        <v>0</v>
      </c>
    </row>
    <row r="84" spans="1:11" x14ac:dyDescent="0.2">
      <c r="A84" s="29" t="s">
        <v>81</v>
      </c>
      <c r="B84" s="21"/>
      <c r="C84" s="21"/>
      <c r="D84" s="21"/>
      <c r="E84" s="19"/>
      <c r="F84" s="19"/>
      <c r="G84" s="19"/>
      <c r="H84" s="19"/>
      <c r="I84" s="19"/>
      <c r="J84" s="19"/>
      <c r="K84" s="19">
        <f t="shared" si="13"/>
        <v>0</v>
      </c>
    </row>
    <row r="85" spans="1:11" x14ac:dyDescent="0.2">
      <c r="A85" s="29" t="s">
        <v>82</v>
      </c>
      <c r="B85" s="21"/>
      <c r="C85" s="21"/>
      <c r="D85" s="21"/>
      <c r="E85" s="19"/>
      <c r="F85" s="19"/>
      <c r="G85" s="19"/>
      <c r="H85" s="19"/>
      <c r="I85" s="19"/>
      <c r="J85" s="19"/>
      <c r="K85" s="19">
        <f t="shared" si="13"/>
        <v>0</v>
      </c>
    </row>
    <row r="86" spans="1:11" x14ac:dyDescent="0.2">
      <c r="A86" s="28" t="s">
        <v>83</v>
      </c>
      <c r="B86" s="10"/>
      <c r="C86" s="10"/>
      <c r="D86" s="10"/>
      <c r="E86" s="10">
        <f>SUM(E87)</f>
        <v>0</v>
      </c>
      <c r="F86" s="10">
        <f t="shared" ref="F86:J86" si="14">SUM(F87)</f>
        <v>0</v>
      </c>
      <c r="G86" s="10">
        <f t="shared" si="14"/>
        <v>0</v>
      </c>
      <c r="H86" s="10">
        <f t="shared" si="14"/>
        <v>0</v>
      </c>
      <c r="I86" s="10">
        <f t="shared" si="14"/>
        <v>0</v>
      </c>
      <c r="J86" s="10">
        <f t="shared" si="14"/>
        <v>0</v>
      </c>
      <c r="K86" s="10">
        <f t="shared" si="13"/>
        <v>0</v>
      </c>
    </row>
    <row r="87" spans="1:11" x14ac:dyDescent="0.2">
      <c r="A87" s="29" t="s">
        <v>84</v>
      </c>
      <c r="B87" s="21"/>
      <c r="C87" s="21"/>
      <c r="D87" s="21"/>
      <c r="E87" s="19"/>
      <c r="F87" s="19"/>
      <c r="G87" s="20"/>
      <c r="H87" s="19"/>
      <c r="I87" s="19"/>
      <c r="J87" s="19"/>
      <c r="K87" s="19">
        <f t="shared" si="13"/>
        <v>0</v>
      </c>
    </row>
    <row r="88" spans="1:11" x14ac:dyDescent="0.2">
      <c r="A88" s="31" t="s">
        <v>85</v>
      </c>
      <c r="B88" s="10"/>
      <c r="C88" s="10"/>
      <c r="D88" s="10"/>
      <c r="E88" s="10">
        <f>SUM(E89:E90)</f>
        <v>0</v>
      </c>
      <c r="F88" s="10">
        <f t="shared" ref="F88:J88" si="15">SUM(F89:F90)</f>
        <v>0</v>
      </c>
      <c r="G88" s="10">
        <f t="shared" si="15"/>
        <v>0</v>
      </c>
      <c r="H88" s="10">
        <f t="shared" si="15"/>
        <v>0</v>
      </c>
      <c r="I88" s="10">
        <f t="shared" si="15"/>
        <v>0</v>
      </c>
      <c r="J88" s="10">
        <f t="shared" si="15"/>
        <v>0</v>
      </c>
      <c r="K88" s="10">
        <f t="shared" si="13"/>
        <v>0</v>
      </c>
    </row>
    <row r="89" spans="1:11" x14ac:dyDescent="0.2">
      <c r="A89" s="29" t="s">
        <v>86</v>
      </c>
      <c r="B89" s="21"/>
      <c r="C89" s="21"/>
      <c r="D89" s="21"/>
      <c r="E89" s="19"/>
      <c r="F89" s="19"/>
      <c r="G89" s="19"/>
      <c r="H89" s="19"/>
      <c r="I89" s="19"/>
      <c r="J89" s="19"/>
      <c r="K89" s="19">
        <f t="shared" si="13"/>
        <v>0</v>
      </c>
    </row>
    <row r="90" spans="1:11" x14ac:dyDescent="0.2">
      <c r="A90" s="29" t="s">
        <v>87</v>
      </c>
      <c r="B90" s="21"/>
      <c r="C90" s="21"/>
      <c r="D90" s="21"/>
      <c r="E90" s="19"/>
      <c r="F90" s="19"/>
      <c r="G90" s="19"/>
      <c r="H90" s="20"/>
      <c r="I90" s="17"/>
      <c r="J90" s="19"/>
      <c r="K90" s="19">
        <f t="shared" si="13"/>
        <v>0</v>
      </c>
    </row>
    <row r="91" spans="1:11" x14ac:dyDescent="0.2">
      <c r="A91" s="28" t="s">
        <v>88</v>
      </c>
      <c r="B91" s="10">
        <v>875767</v>
      </c>
      <c r="C91" s="10">
        <v>35.799999999999997</v>
      </c>
      <c r="D91" s="10">
        <v>20</v>
      </c>
      <c r="E91" s="10">
        <f>SUM(E92:E98)</f>
        <v>0</v>
      </c>
      <c r="F91" s="10">
        <f t="shared" ref="F91:H91" si="16">SUM(F92:F98)</f>
        <v>849667.15999999992</v>
      </c>
      <c r="G91" s="10">
        <f t="shared" si="16"/>
        <v>0</v>
      </c>
      <c r="H91" s="10">
        <f t="shared" si="16"/>
        <v>1601312</v>
      </c>
      <c r="I91" s="10">
        <f>SUM(I92:I98)</f>
        <v>852446</v>
      </c>
      <c r="J91" s="10">
        <f>SUM(J92:J98)</f>
        <v>0</v>
      </c>
      <c r="K91" s="10">
        <f t="shared" si="13"/>
        <v>3303425.16</v>
      </c>
    </row>
    <row r="92" spans="1:11" x14ac:dyDescent="0.2">
      <c r="A92" s="27" t="s">
        <v>89</v>
      </c>
      <c r="B92" s="11"/>
      <c r="C92" s="11"/>
      <c r="D92" s="11"/>
      <c r="E92" s="25"/>
      <c r="F92" s="25">
        <v>173740</v>
      </c>
      <c r="G92" s="25"/>
      <c r="H92" s="25">
        <f>8732+40002+104244+236000+629884</f>
        <v>1018862</v>
      </c>
      <c r="I92" s="20">
        <v>19824</v>
      </c>
      <c r="J92" s="25"/>
      <c r="K92" s="25">
        <f t="shared" si="13"/>
        <v>1212426</v>
      </c>
    </row>
    <row r="93" spans="1:11" x14ac:dyDescent="0.2">
      <c r="A93" s="27" t="s">
        <v>90</v>
      </c>
      <c r="B93" s="11"/>
      <c r="C93" s="11"/>
      <c r="D93" s="11"/>
      <c r="E93" s="25"/>
      <c r="F93" s="25"/>
      <c r="G93" s="170"/>
      <c r="H93" s="25">
        <f>12000+15000</f>
        <v>27000</v>
      </c>
      <c r="I93" s="20">
        <v>7000</v>
      </c>
      <c r="J93" s="25"/>
      <c r="K93" s="25">
        <f t="shared" si="13"/>
        <v>34000</v>
      </c>
    </row>
    <row r="94" spans="1:11" x14ac:dyDescent="0.2">
      <c r="A94" s="27" t="s">
        <v>91</v>
      </c>
      <c r="B94" s="11"/>
      <c r="C94" s="11"/>
      <c r="D94" s="11"/>
      <c r="E94" s="25"/>
      <c r="F94" s="25">
        <v>173250</v>
      </c>
      <c r="G94" s="25"/>
      <c r="H94" s="25">
        <v>307650</v>
      </c>
      <c r="I94" s="20">
        <v>735000</v>
      </c>
      <c r="J94" s="25"/>
      <c r="K94" s="25">
        <f t="shared" si="13"/>
        <v>1215900</v>
      </c>
    </row>
    <row r="95" spans="1:11" x14ac:dyDescent="0.2">
      <c r="A95" s="30" t="s">
        <v>92</v>
      </c>
      <c r="B95" s="21"/>
      <c r="C95" s="21"/>
      <c r="D95" s="21"/>
      <c r="E95" s="25"/>
      <c r="F95" s="25"/>
      <c r="G95" s="25"/>
      <c r="H95" s="25"/>
      <c r="I95" s="20"/>
      <c r="J95" s="25"/>
      <c r="K95" s="25">
        <f t="shared" si="13"/>
        <v>0</v>
      </c>
    </row>
    <row r="96" spans="1:11" x14ac:dyDescent="0.2">
      <c r="A96" s="30" t="s">
        <v>93</v>
      </c>
      <c r="B96" s="21"/>
      <c r="C96" s="21"/>
      <c r="D96" s="21"/>
      <c r="E96" s="25"/>
      <c r="F96" s="25"/>
      <c r="G96" s="25"/>
      <c r="H96" s="25"/>
      <c r="I96" s="20"/>
      <c r="J96" s="25"/>
      <c r="K96" s="25">
        <f t="shared" si="13"/>
        <v>0</v>
      </c>
    </row>
    <row r="97" spans="1:12" x14ac:dyDescent="0.2">
      <c r="A97" s="30" t="s">
        <v>94</v>
      </c>
      <c r="B97" s="21"/>
      <c r="C97" s="21"/>
      <c r="D97" s="21"/>
      <c r="E97" s="23"/>
      <c r="F97" s="23">
        <f>11800+48565.69+65490+82600+294221.47</f>
        <v>502677.16</v>
      </c>
      <c r="G97" s="23"/>
      <c r="H97" s="23">
        <f>88500+159300</f>
        <v>247800</v>
      </c>
      <c r="I97" s="20">
        <f>40000+50622</f>
        <v>90622</v>
      </c>
      <c r="J97" s="23"/>
      <c r="K97" s="23">
        <f t="shared" si="13"/>
        <v>841099.15999999992</v>
      </c>
    </row>
    <row r="98" spans="1:12" x14ac:dyDescent="0.2">
      <c r="A98" s="30" t="s">
        <v>95</v>
      </c>
      <c r="B98" s="21"/>
      <c r="C98" s="21"/>
      <c r="D98" s="21"/>
      <c r="E98" s="23"/>
      <c r="F98" s="23"/>
      <c r="G98" s="23"/>
      <c r="I98" s="23"/>
      <c r="J98" s="23"/>
      <c r="K98" s="23">
        <f t="shared" si="13"/>
        <v>0</v>
      </c>
    </row>
    <row r="99" spans="1:12" ht="14.25" customHeight="1" thickBot="1" x14ac:dyDescent="0.25">
      <c r="A99" s="32" t="s">
        <v>96</v>
      </c>
      <c r="B99" s="33"/>
      <c r="C99" s="33"/>
      <c r="D99" s="33"/>
      <c r="E99" s="34">
        <f>SUM(E91,E88,E86,E68,E55,E50,E43,E41,E39,E34,E27,E17,E15,E8,E4)</f>
        <v>861400</v>
      </c>
      <c r="F99" s="34">
        <f t="shared" ref="F99:J99" si="17">SUM(F91,F88,F86,F68,F55,F50,F43,F41,F39,F34,F27,F17,F15,F8,F4)</f>
        <v>4478453.22</v>
      </c>
      <c r="G99" s="34">
        <f t="shared" si="17"/>
        <v>2177250</v>
      </c>
      <c r="H99" s="34">
        <f t="shared" si="17"/>
        <v>9415737.2699999996</v>
      </c>
      <c r="I99" s="34">
        <f t="shared" si="17"/>
        <v>6084337.46</v>
      </c>
      <c r="J99" s="34">
        <f t="shared" si="17"/>
        <v>0</v>
      </c>
      <c r="K99" s="34">
        <f>SUM(E99:J99)</f>
        <v>23017177.949999999</v>
      </c>
      <c r="L99"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C6DEC-AF4F-0E4C-A1F5-DC89153C9EFC}">
  <dimension ref="A1:L99"/>
  <sheetViews>
    <sheetView zoomScale="136" workbookViewId="0">
      <selection activeCell="I96" sqref="I96"/>
    </sheetView>
  </sheetViews>
  <sheetFormatPr baseColWidth="10" defaultColWidth="8.83203125" defaultRowHeight="16" x14ac:dyDescent="0.2"/>
  <cols>
    <col min="1" max="1" width="68.1640625" style="4" customWidth="1"/>
    <col min="2" max="2" width="24.6640625" style="4" hidden="1" customWidth="1"/>
    <col min="3" max="3" width="23.1640625" style="4" hidden="1" customWidth="1"/>
    <col min="4" max="4" width="21" style="4" hidden="1" customWidth="1"/>
    <col min="5" max="5" width="10" style="5" bestFit="1" customWidth="1"/>
    <col min="6" max="6" width="12.6640625" style="5" bestFit="1" customWidth="1"/>
    <col min="7" max="7" width="13.6640625" bestFit="1" customWidth="1"/>
    <col min="8" max="10" width="14.5" bestFit="1" customWidth="1"/>
    <col min="11" max="11" width="11.33203125" bestFit="1" customWidth="1"/>
    <col min="12" max="12" width="13.1640625" customWidth="1"/>
  </cols>
  <sheetData>
    <row r="1" spans="1:11" ht="23" thickBot="1" x14ac:dyDescent="0.25">
      <c r="A1" s="155" t="s">
        <v>108</v>
      </c>
      <c r="B1" s="156"/>
      <c r="C1" s="156"/>
      <c r="D1" s="156"/>
      <c r="E1" s="156"/>
      <c r="F1" s="156"/>
      <c r="G1" s="156"/>
      <c r="H1" s="156"/>
      <c r="I1" s="156"/>
      <c r="J1" s="156"/>
    </row>
    <row r="2" spans="1:11" ht="32" x14ac:dyDescent="0.2">
      <c r="A2" s="26" t="s">
        <v>0</v>
      </c>
      <c r="B2" s="6"/>
      <c r="C2" s="6"/>
      <c r="D2" s="6"/>
      <c r="E2" s="7" t="s">
        <v>107</v>
      </c>
      <c r="F2" s="35" t="s">
        <v>136</v>
      </c>
      <c r="G2" s="35" t="s">
        <v>137</v>
      </c>
      <c r="H2" s="35" t="s">
        <v>138</v>
      </c>
      <c r="I2" s="35" t="s">
        <v>139</v>
      </c>
      <c r="J2" s="35" t="s">
        <v>140</v>
      </c>
      <c r="K2" s="143" t="s">
        <v>116</v>
      </c>
    </row>
    <row r="3" spans="1:11" x14ac:dyDescent="0.2">
      <c r="A3" s="27"/>
      <c r="B3" s="8"/>
      <c r="C3" s="8"/>
      <c r="D3" s="8"/>
      <c r="E3" s="9"/>
      <c r="F3" s="9"/>
      <c r="G3" s="9"/>
      <c r="H3" s="9"/>
      <c r="I3" s="9"/>
      <c r="J3" s="9"/>
      <c r="K3" s="9"/>
    </row>
    <row r="4" spans="1:11" x14ac:dyDescent="0.2">
      <c r="A4" s="28" t="s">
        <v>2</v>
      </c>
      <c r="B4" s="10">
        <v>725167</v>
      </c>
      <c r="C4" s="10">
        <v>31.1</v>
      </c>
      <c r="D4" s="10">
        <v>11</v>
      </c>
      <c r="E4" s="10">
        <f>SUM(E5:E7)</f>
        <v>861400</v>
      </c>
      <c r="F4" s="10">
        <f t="shared" ref="F4:J4" si="0">SUM(F5:F7)</f>
        <v>0</v>
      </c>
      <c r="G4" s="10">
        <f t="shared" si="0"/>
        <v>1199</v>
      </c>
      <c r="H4" s="10">
        <f t="shared" si="0"/>
        <v>0</v>
      </c>
      <c r="I4" s="10">
        <f t="shared" si="0"/>
        <v>157176</v>
      </c>
      <c r="J4" s="10">
        <f t="shared" si="0"/>
        <v>0</v>
      </c>
      <c r="K4" s="10">
        <f t="shared" ref="K4:K67" si="1">SUM(E4:J4)</f>
        <v>1019775</v>
      </c>
    </row>
    <row r="5" spans="1:11" x14ac:dyDescent="0.2">
      <c r="A5" s="27" t="s">
        <v>3</v>
      </c>
      <c r="B5" s="11"/>
      <c r="C5" s="11"/>
      <c r="D5" s="11"/>
      <c r="E5" s="12">
        <v>590000</v>
      </c>
      <c r="F5" s="12"/>
      <c r="G5" s="12"/>
      <c r="H5" s="12"/>
      <c r="I5" s="12"/>
      <c r="J5" s="12"/>
      <c r="K5" s="12">
        <f t="shared" si="1"/>
        <v>590000</v>
      </c>
    </row>
    <row r="6" spans="1:11" x14ac:dyDescent="0.2">
      <c r="A6" s="27" t="s">
        <v>4</v>
      </c>
      <c r="B6" s="11"/>
      <c r="C6" s="11"/>
      <c r="D6" s="11"/>
      <c r="E6" s="12">
        <v>236000</v>
      </c>
      <c r="F6" s="12"/>
      <c r="G6" s="12"/>
      <c r="H6" s="12"/>
      <c r="I6" s="12"/>
      <c r="J6" s="12"/>
      <c r="K6" s="12">
        <f t="shared" si="1"/>
        <v>236000</v>
      </c>
    </row>
    <row r="7" spans="1:11" x14ac:dyDescent="0.2">
      <c r="A7" s="27" t="s">
        <v>5</v>
      </c>
      <c r="B7" s="11"/>
      <c r="C7" s="11"/>
      <c r="D7" s="11"/>
      <c r="E7" s="13">
        <v>35400</v>
      </c>
      <c r="F7" s="13"/>
      <c r="G7" s="170">
        <f>597+602</f>
        <v>1199</v>
      </c>
      <c r="H7" s="13"/>
      <c r="I7" s="13">
        <f>157176</f>
        <v>157176</v>
      </c>
      <c r="J7" s="13"/>
      <c r="K7" s="13">
        <f t="shared" si="1"/>
        <v>193775</v>
      </c>
    </row>
    <row r="8" spans="1:11" x14ac:dyDescent="0.2">
      <c r="A8" s="28" t="s">
        <v>6</v>
      </c>
      <c r="B8" s="10"/>
      <c r="C8" s="10"/>
      <c r="D8" s="10">
        <v>9</v>
      </c>
      <c r="E8" s="10">
        <f>SUM(E9:E14)</f>
        <v>0</v>
      </c>
      <c r="F8" s="10">
        <f t="shared" ref="F8:J8" si="2">SUM(F9:F14)</f>
        <v>410345</v>
      </c>
      <c r="G8" s="10">
        <f t="shared" si="2"/>
        <v>0</v>
      </c>
      <c r="H8" s="10">
        <f t="shared" si="2"/>
        <v>19470</v>
      </c>
      <c r="I8" s="10">
        <f t="shared" si="2"/>
        <v>0</v>
      </c>
      <c r="J8" s="10">
        <f t="shared" si="2"/>
        <v>0</v>
      </c>
      <c r="K8" s="10">
        <f t="shared" si="1"/>
        <v>429815</v>
      </c>
    </row>
    <row r="9" spans="1:11" x14ac:dyDescent="0.2">
      <c r="A9" s="27" t="s">
        <v>7</v>
      </c>
      <c r="B9" s="11"/>
      <c r="C9" s="11"/>
      <c r="D9" s="11"/>
      <c r="E9" s="13"/>
      <c r="F9" s="13"/>
      <c r="G9" s="13"/>
      <c r="H9" s="13"/>
      <c r="I9" s="13"/>
      <c r="J9" s="13"/>
      <c r="K9" s="13">
        <f t="shared" si="1"/>
        <v>0</v>
      </c>
    </row>
    <row r="10" spans="1:11" x14ac:dyDescent="0.2">
      <c r="A10" s="27" t="s">
        <v>8</v>
      </c>
      <c r="B10" s="11"/>
      <c r="C10" s="11"/>
      <c r="D10" s="11"/>
      <c r="E10" s="13"/>
      <c r="F10" s="13"/>
      <c r="G10" s="13"/>
      <c r="H10" s="13"/>
      <c r="I10" s="13"/>
      <c r="J10" s="13"/>
      <c r="K10" s="13">
        <f t="shared" si="1"/>
        <v>0</v>
      </c>
    </row>
    <row r="11" spans="1:11" x14ac:dyDescent="0.2">
      <c r="A11" s="27" t="s">
        <v>9</v>
      </c>
      <c r="B11" s="11"/>
      <c r="C11" s="11"/>
      <c r="D11" s="11"/>
      <c r="E11" s="13"/>
      <c r="F11" s="13"/>
      <c r="G11" s="13"/>
      <c r="H11" s="13">
        <f>19470</f>
        <v>19470</v>
      </c>
      <c r="J11" s="13"/>
      <c r="K11" s="13">
        <f t="shared" si="1"/>
        <v>19470</v>
      </c>
    </row>
    <row r="12" spans="1:11" x14ac:dyDescent="0.2">
      <c r="A12" s="27" t="s">
        <v>10</v>
      </c>
      <c r="B12" s="11"/>
      <c r="C12" s="11"/>
      <c r="D12" s="11"/>
      <c r="E12" s="13"/>
      <c r="F12" s="13"/>
      <c r="G12" s="13"/>
      <c r="H12" s="13"/>
      <c r="I12" s="13"/>
      <c r="J12" s="13"/>
      <c r="K12" s="13">
        <f t="shared" si="1"/>
        <v>0</v>
      </c>
    </row>
    <row r="13" spans="1:11" x14ac:dyDescent="0.2">
      <c r="A13" s="27" t="s">
        <v>11</v>
      </c>
      <c r="B13" s="11"/>
      <c r="C13" s="11"/>
      <c r="D13" s="11"/>
      <c r="E13" s="13"/>
      <c r="F13" s="13"/>
      <c r="G13" s="13"/>
      <c r="H13" s="13"/>
      <c r="I13" s="13"/>
      <c r="J13" s="13"/>
      <c r="K13" s="13">
        <f t="shared" si="1"/>
        <v>0</v>
      </c>
    </row>
    <row r="14" spans="1:11" x14ac:dyDescent="0.2">
      <c r="A14" s="27" t="s">
        <v>12</v>
      </c>
      <c r="B14" s="11"/>
      <c r="C14" s="11"/>
      <c r="D14" s="11"/>
      <c r="E14" s="13"/>
      <c r="F14" s="13">
        <f>410345</f>
        <v>410345</v>
      </c>
      <c r="G14" s="13"/>
      <c r="H14" s="13"/>
      <c r="I14" s="13"/>
      <c r="J14" s="13"/>
      <c r="K14" s="13">
        <f t="shared" si="1"/>
        <v>410345</v>
      </c>
    </row>
    <row r="15" spans="1:11" x14ac:dyDescent="0.2">
      <c r="A15" s="28" t="s">
        <v>13</v>
      </c>
      <c r="B15" s="10">
        <v>724989</v>
      </c>
      <c r="C15" s="10">
        <v>29.55</v>
      </c>
      <c r="D15" s="10">
        <v>16</v>
      </c>
      <c r="E15" s="10">
        <f>SUM(E16)</f>
        <v>0</v>
      </c>
      <c r="F15" s="10">
        <f t="shared" ref="F15:H15" si="3">SUM(F16)</f>
        <v>0</v>
      </c>
      <c r="G15" s="10">
        <f t="shared" si="3"/>
        <v>0</v>
      </c>
      <c r="H15" s="10">
        <f t="shared" si="3"/>
        <v>0</v>
      </c>
      <c r="I15" s="10">
        <f>SUM(I16)</f>
        <v>0</v>
      </c>
      <c r="J15" s="10">
        <f>SUM(J16)</f>
        <v>0</v>
      </c>
      <c r="K15" s="10">
        <f t="shared" si="1"/>
        <v>0</v>
      </c>
    </row>
    <row r="16" spans="1:11" x14ac:dyDescent="0.2">
      <c r="A16" s="27" t="s">
        <v>14</v>
      </c>
      <c r="B16" s="11"/>
      <c r="C16" s="11"/>
      <c r="D16" s="11"/>
      <c r="E16" s="169"/>
      <c r="F16" s="169"/>
      <c r="G16" s="169"/>
      <c r="H16" s="169"/>
      <c r="J16" s="169"/>
      <c r="K16" s="14">
        <f t="shared" si="1"/>
        <v>0</v>
      </c>
    </row>
    <row r="17" spans="1:11" x14ac:dyDescent="0.2">
      <c r="A17" s="28" t="s">
        <v>15</v>
      </c>
      <c r="B17" s="10"/>
      <c r="C17" s="10">
        <v>0</v>
      </c>
      <c r="D17" s="10">
        <v>16</v>
      </c>
      <c r="E17" s="10">
        <f>SUM(E18:E26)</f>
        <v>0</v>
      </c>
      <c r="F17" s="10">
        <f t="shared" ref="F17:J17" si="4">SUM(F18:F26)</f>
        <v>0</v>
      </c>
      <c r="G17" s="10">
        <f t="shared" si="4"/>
        <v>0</v>
      </c>
      <c r="H17" s="10">
        <f t="shared" si="4"/>
        <v>0</v>
      </c>
      <c r="I17" s="10">
        <f t="shared" si="4"/>
        <v>0</v>
      </c>
      <c r="J17" s="10">
        <f t="shared" si="4"/>
        <v>0</v>
      </c>
      <c r="K17" s="10">
        <f t="shared" si="1"/>
        <v>0</v>
      </c>
    </row>
    <row r="18" spans="1:11" x14ac:dyDescent="0.2">
      <c r="A18" s="27" t="s">
        <v>16</v>
      </c>
      <c r="B18" s="11"/>
      <c r="C18" s="11"/>
      <c r="D18" s="11"/>
      <c r="E18" s="169"/>
      <c r="F18" s="169"/>
      <c r="G18" s="169"/>
      <c r="H18" s="169"/>
      <c r="I18" s="169"/>
      <c r="J18" s="169"/>
      <c r="K18" s="14">
        <f t="shared" si="1"/>
        <v>0</v>
      </c>
    </row>
    <row r="19" spans="1:11" x14ac:dyDescent="0.2">
      <c r="A19" s="27" t="s">
        <v>17</v>
      </c>
      <c r="B19" s="11"/>
      <c r="C19" s="11"/>
      <c r="D19" s="11"/>
      <c r="E19" s="169"/>
      <c r="F19" s="169"/>
      <c r="G19" s="169"/>
      <c r="H19" s="169"/>
      <c r="I19" s="169"/>
      <c r="J19" s="169"/>
      <c r="K19" s="14">
        <f t="shared" si="1"/>
        <v>0</v>
      </c>
    </row>
    <row r="20" spans="1:11" x14ac:dyDescent="0.2">
      <c r="A20" s="27" t="s">
        <v>18</v>
      </c>
      <c r="B20" s="11"/>
      <c r="C20" s="11"/>
      <c r="D20" s="11"/>
      <c r="E20" s="169"/>
      <c r="F20" s="169"/>
      <c r="G20" s="169"/>
      <c r="H20" s="169"/>
      <c r="I20" s="169"/>
      <c r="J20" s="169"/>
      <c r="K20" s="14">
        <f t="shared" si="1"/>
        <v>0</v>
      </c>
    </row>
    <row r="21" spans="1:11" x14ac:dyDescent="0.2">
      <c r="A21" s="27" t="s">
        <v>19</v>
      </c>
      <c r="B21" s="11"/>
      <c r="C21" s="11"/>
      <c r="D21" s="11"/>
      <c r="E21" s="169"/>
      <c r="F21" s="169"/>
      <c r="G21" s="169"/>
      <c r="H21" s="169"/>
      <c r="I21" s="169"/>
      <c r="J21" s="169"/>
      <c r="K21" s="14">
        <f t="shared" si="1"/>
        <v>0</v>
      </c>
    </row>
    <row r="22" spans="1:11" x14ac:dyDescent="0.2">
      <c r="A22" s="29" t="s">
        <v>20</v>
      </c>
      <c r="B22" s="11"/>
      <c r="C22" s="11"/>
      <c r="D22" s="11"/>
      <c r="E22" s="169"/>
      <c r="F22" s="169"/>
      <c r="G22" s="169"/>
      <c r="H22" s="169"/>
      <c r="I22" s="169"/>
      <c r="J22" s="169"/>
      <c r="K22" s="14">
        <f t="shared" si="1"/>
        <v>0</v>
      </c>
    </row>
    <row r="23" spans="1:11" x14ac:dyDescent="0.2">
      <c r="A23" s="29" t="s">
        <v>21</v>
      </c>
      <c r="B23" s="11"/>
      <c r="C23" s="11"/>
      <c r="D23" s="11"/>
      <c r="E23" s="169"/>
      <c r="F23" s="169"/>
      <c r="G23" s="169"/>
      <c r="H23" s="169"/>
      <c r="I23" s="169"/>
      <c r="J23" s="169"/>
      <c r="K23" s="14">
        <f t="shared" si="1"/>
        <v>0</v>
      </c>
    </row>
    <row r="24" spans="1:11" x14ac:dyDescent="0.2">
      <c r="A24" s="29" t="s">
        <v>22</v>
      </c>
      <c r="B24" s="11"/>
      <c r="C24" s="11"/>
      <c r="D24" s="11"/>
      <c r="E24" s="169"/>
      <c r="F24" s="169"/>
      <c r="G24" s="169"/>
      <c r="H24" s="169"/>
      <c r="I24" s="169"/>
      <c r="J24" s="169"/>
      <c r="K24" s="14">
        <f t="shared" si="1"/>
        <v>0</v>
      </c>
    </row>
    <row r="25" spans="1:11" x14ac:dyDescent="0.2">
      <c r="A25" s="29" t="s">
        <v>23</v>
      </c>
      <c r="B25" s="11"/>
      <c r="C25" s="11"/>
      <c r="D25" s="11"/>
      <c r="E25" s="169"/>
      <c r="F25" s="169"/>
      <c r="G25" s="169"/>
      <c r="H25" s="169"/>
      <c r="I25" s="169"/>
      <c r="J25" s="169"/>
      <c r="K25" s="14">
        <f t="shared" si="1"/>
        <v>0</v>
      </c>
    </row>
    <row r="26" spans="1:11" x14ac:dyDescent="0.2">
      <c r="A26" s="27" t="s">
        <v>24</v>
      </c>
      <c r="B26" s="11"/>
      <c r="C26" s="11"/>
      <c r="D26" s="11"/>
      <c r="E26" s="169"/>
      <c r="F26" s="169"/>
      <c r="G26" s="169"/>
      <c r="H26" s="169"/>
      <c r="I26" s="169"/>
      <c r="J26" s="169"/>
      <c r="K26" s="14">
        <f t="shared" si="1"/>
        <v>0</v>
      </c>
    </row>
    <row r="27" spans="1:11" x14ac:dyDescent="0.2">
      <c r="A27" s="28" t="s">
        <v>25</v>
      </c>
      <c r="B27" s="10">
        <v>24017</v>
      </c>
      <c r="C27" s="10">
        <v>0.9</v>
      </c>
      <c r="D27" s="10">
        <v>1</v>
      </c>
      <c r="E27" s="10">
        <f>SUM(E28:E33)</f>
        <v>0</v>
      </c>
      <c r="F27" s="10">
        <f t="shared" ref="F27:J27" si="5">SUM(F28:F33)</f>
        <v>8744</v>
      </c>
      <c r="G27" s="10">
        <f t="shared" si="5"/>
        <v>7168</v>
      </c>
      <c r="H27" s="10">
        <f t="shared" si="5"/>
        <v>0</v>
      </c>
      <c r="I27" s="10">
        <f t="shared" si="5"/>
        <v>0</v>
      </c>
      <c r="J27" s="10">
        <f t="shared" si="5"/>
        <v>0</v>
      </c>
      <c r="K27" s="10">
        <f t="shared" si="1"/>
        <v>15912</v>
      </c>
    </row>
    <row r="28" spans="1:11" x14ac:dyDescent="0.2">
      <c r="A28" s="27" t="s">
        <v>26</v>
      </c>
      <c r="B28" s="11"/>
      <c r="C28" s="11"/>
      <c r="D28" s="11"/>
      <c r="E28" s="15"/>
      <c r="F28" s="16"/>
      <c r="G28" s="15"/>
      <c r="H28" s="17"/>
      <c r="I28" s="18"/>
      <c r="J28" s="19"/>
      <c r="K28" s="19">
        <f t="shared" si="1"/>
        <v>0</v>
      </c>
    </row>
    <row r="29" spans="1:11" x14ac:dyDescent="0.2">
      <c r="A29" s="27" t="s">
        <v>27</v>
      </c>
      <c r="B29" s="11"/>
      <c r="C29" s="11"/>
      <c r="D29" s="11"/>
      <c r="E29" s="16"/>
      <c r="F29" s="16"/>
      <c r="G29" s="15"/>
      <c r="H29" s="16"/>
      <c r="I29" s="19"/>
      <c r="J29" s="19"/>
      <c r="K29" s="19">
        <f t="shared" si="1"/>
        <v>0</v>
      </c>
    </row>
    <row r="30" spans="1:11" x14ac:dyDescent="0.2">
      <c r="A30" s="27" t="s">
        <v>28</v>
      </c>
      <c r="B30" s="11"/>
      <c r="C30" s="11"/>
      <c r="D30" s="11"/>
      <c r="F30" s="16">
        <f>8744</f>
        <v>8744</v>
      </c>
      <c r="G30" s="15"/>
      <c r="H30" s="16"/>
      <c r="I30" s="19"/>
      <c r="J30" s="19"/>
      <c r="K30" s="19">
        <f>SUM(F30:J30)</f>
        <v>8744</v>
      </c>
    </row>
    <row r="31" spans="1:11" x14ac:dyDescent="0.2">
      <c r="A31" s="27" t="s">
        <v>29</v>
      </c>
      <c r="B31" s="11"/>
      <c r="C31" s="11"/>
      <c r="D31" s="11"/>
      <c r="E31" s="16"/>
      <c r="F31" s="16"/>
      <c r="G31" s="15"/>
      <c r="H31" s="17"/>
      <c r="I31" s="18"/>
      <c r="J31" s="19"/>
      <c r="K31" s="19"/>
    </row>
    <row r="32" spans="1:11" x14ac:dyDescent="0.2">
      <c r="A32" s="30" t="s">
        <v>30</v>
      </c>
      <c r="B32" s="11"/>
      <c r="C32" s="11"/>
      <c r="D32" s="11"/>
      <c r="E32" s="16"/>
      <c r="F32" s="16"/>
      <c r="G32" s="15">
        <f>7168</f>
        <v>7168</v>
      </c>
      <c r="H32" s="18"/>
      <c r="I32" s="19"/>
      <c r="J32" s="19"/>
      <c r="K32" s="19"/>
    </row>
    <row r="33" spans="1:12" x14ac:dyDescent="0.2">
      <c r="A33" s="27" t="s">
        <v>31</v>
      </c>
      <c r="B33" s="11"/>
      <c r="C33" s="11"/>
      <c r="D33" s="11"/>
      <c r="E33" s="16"/>
      <c r="F33" s="16"/>
      <c r="G33" s="15"/>
      <c r="H33" s="17"/>
      <c r="I33" s="18"/>
      <c r="J33" s="19"/>
      <c r="K33" s="19">
        <f t="shared" si="1"/>
        <v>0</v>
      </c>
    </row>
    <row r="34" spans="1:12" x14ac:dyDescent="0.2">
      <c r="A34" s="28" t="s">
        <v>32</v>
      </c>
      <c r="B34" s="10"/>
      <c r="C34" s="10">
        <v>0</v>
      </c>
      <c r="D34" s="10">
        <v>14</v>
      </c>
      <c r="E34" s="10">
        <f>SUM(E35:E38)</f>
        <v>0</v>
      </c>
      <c r="F34" s="10">
        <f t="shared" ref="F34:J34" si="6">SUM(F35:F38)</f>
        <v>0</v>
      </c>
      <c r="G34" s="10">
        <f t="shared" si="6"/>
        <v>1180000</v>
      </c>
      <c r="H34" s="10">
        <f t="shared" si="6"/>
        <v>0</v>
      </c>
      <c r="I34" s="10">
        <f t="shared" si="6"/>
        <v>0</v>
      </c>
      <c r="J34" s="10">
        <f t="shared" si="6"/>
        <v>0</v>
      </c>
      <c r="K34" s="10">
        <f t="shared" si="1"/>
        <v>1180000</v>
      </c>
    </row>
    <row r="35" spans="1:12" x14ac:dyDescent="0.2">
      <c r="A35" s="27" t="s">
        <v>33</v>
      </c>
      <c r="B35" s="11"/>
      <c r="C35" s="11"/>
      <c r="D35" s="11"/>
      <c r="E35" s="16"/>
      <c r="F35" s="16"/>
      <c r="G35" s="15"/>
      <c r="H35" s="20"/>
      <c r="I35" s="18"/>
      <c r="J35" s="15"/>
      <c r="K35" s="15">
        <f t="shared" si="1"/>
        <v>0</v>
      </c>
    </row>
    <row r="36" spans="1:12" x14ac:dyDescent="0.2">
      <c r="A36" s="27" t="s">
        <v>34</v>
      </c>
      <c r="B36" s="11"/>
      <c r="C36" s="11"/>
      <c r="D36" s="11"/>
      <c r="E36" s="19"/>
      <c r="F36" s="19"/>
      <c r="G36" s="19">
        <f>1180000</f>
        <v>1180000</v>
      </c>
      <c r="H36" s="19"/>
      <c r="J36" s="19"/>
      <c r="K36" s="19">
        <f t="shared" si="1"/>
        <v>1180000</v>
      </c>
    </row>
    <row r="37" spans="1:12" x14ac:dyDescent="0.2">
      <c r="A37" s="27" t="s">
        <v>35</v>
      </c>
      <c r="B37" s="11"/>
      <c r="C37" s="11"/>
      <c r="D37" s="11"/>
      <c r="E37" s="19"/>
      <c r="F37" s="19"/>
      <c r="G37" s="19"/>
      <c r="H37" s="19"/>
      <c r="I37" s="19"/>
      <c r="J37" s="19"/>
      <c r="K37" s="19">
        <f t="shared" si="1"/>
        <v>0</v>
      </c>
    </row>
    <row r="38" spans="1:12" x14ac:dyDescent="0.2">
      <c r="A38" s="27" t="s">
        <v>36</v>
      </c>
      <c r="B38" s="11"/>
      <c r="C38" s="11"/>
      <c r="D38" s="11"/>
      <c r="E38" s="19"/>
      <c r="F38" s="16"/>
      <c r="G38" s="16"/>
      <c r="H38" s="16"/>
      <c r="I38" s="16"/>
      <c r="J38" s="16"/>
      <c r="K38" s="16">
        <f t="shared" si="1"/>
        <v>0</v>
      </c>
    </row>
    <row r="39" spans="1:12" x14ac:dyDescent="0.2">
      <c r="A39" s="28" t="s">
        <v>37</v>
      </c>
      <c r="B39" s="10"/>
      <c r="C39" s="10">
        <v>0</v>
      </c>
      <c r="D39" s="10"/>
      <c r="E39" s="10">
        <f>SUM(E40)</f>
        <v>0</v>
      </c>
      <c r="F39" s="10">
        <f t="shared" ref="F39:J39" si="7">SUM(F40)</f>
        <v>0</v>
      </c>
      <c r="G39" s="10">
        <f t="shared" si="7"/>
        <v>0</v>
      </c>
      <c r="H39" s="10">
        <f t="shared" si="7"/>
        <v>0</v>
      </c>
      <c r="I39" s="10">
        <f t="shared" si="7"/>
        <v>0</v>
      </c>
      <c r="J39" s="10">
        <f t="shared" si="7"/>
        <v>0</v>
      </c>
      <c r="K39" s="10">
        <f t="shared" si="1"/>
        <v>0</v>
      </c>
    </row>
    <row r="40" spans="1:12" x14ac:dyDescent="0.2">
      <c r="A40" s="27" t="s">
        <v>38</v>
      </c>
      <c r="B40" s="11"/>
      <c r="C40" s="11"/>
      <c r="D40" s="11"/>
      <c r="E40" s="16"/>
      <c r="F40" s="16"/>
      <c r="G40" s="15"/>
      <c r="H40" s="20"/>
      <c r="I40" s="20"/>
      <c r="J40" s="18"/>
      <c r="K40" s="18">
        <f t="shared" si="1"/>
        <v>0</v>
      </c>
    </row>
    <row r="41" spans="1:12" x14ac:dyDescent="0.2">
      <c r="A41" s="28" t="s">
        <v>39</v>
      </c>
      <c r="B41" s="10"/>
      <c r="C41" s="10"/>
      <c r="D41" s="10"/>
      <c r="E41" s="10">
        <f>SUM(E42)</f>
        <v>0</v>
      </c>
      <c r="F41" s="10">
        <f t="shared" ref="F41:J41" si="8">SUM(F42)</f>
        <v>0</v>
      </c>
      <c r="G41" s="10">
        <f t="shared" si="8"/>
        <v>0</v>
      </c>
      <c r="H41" s="10">
        <f t="shared" si="8"/>
        <v>0</v>
      </c>
      <c r="I41" s="10">
        <f t="shared" si="8"/>
        <v>0</v>
      </c>
      <c r="J41" s="10">
        <f t="shared" si="8"/>
        <v>0</v>
      </c>
      <c r="K41" s="10">
        <f t="shared" si="1"/>
        <v>0</v>
      </c>
    </row>
    <row r="42" spans="1:12" x14ac:dyDescent="0.2">
      <c r="A42" s="27" t="s">
        <v>40</v>
      </c>
      <c r="B42" s="11"/>
      <c r="C42" s="11"/>
      <c r="D42" s="11"/>
      <c r="E42" s="16"/>
      <c r="F42" s="16"/>
      <c r="G42" s="15"/>
      <c r="H42" s="18"/>
      <c r="I42" s="20"/>
      <c r="J42" s="18"/>
      <c r="K42" s="18">
        <f t="shared" si="1"/>
        <v>0</v>
      </c>
    </row>
    <row r="43" spans="1:12" x14ac:dyDescent="0.2">
      <c r="A43" s="28" t="s">
        <v>41</v>
      </c>
      <c r="B43" s="10">
        <v>62341</v>
      </c>
      <c r="C43" s="10">
        <v>2.63</v>
      </c>
      <c r="D43" s="10">
        <v>11</v>
      </c>
      <c r="E43" s="10">
        <f>SUM(E44:E49)</f>
        <v>0</v>
      </c>
      <c r="F43" s="10">
        <f t="shared" ref="F43:J43" si="9">SUM(F44:F49)</f>
        <v>0</v>
      </c>
      <c r="G43" s="10">
        <f t="shared" si="9"/>
        <v>153400</v>
      </c>
      <c r="H43" s="10">
        <f t="shared" si="9"/>
        <v>0</v>
      </c>
      <c r="I43" s="10">
        <f t="shared" si="9"/>
        <v>0</v>
      </c>
      <c r="J43" s="10">
        <f t="shared" si="9"/>
        <v>0</v>
      </c>
      <c r="K43" s="10">
        <f t="shared" si="1"/>
        <v>153400</v>
      </c>
    </row>
    <row r="44" spans="1:12" x14ac:dyDescent="0.2">
      <c r="A44" s="30" t="s">
        <v>42</v>
      </c>
      <c r="B44" s="21"/>
      <c r="C44" s="21"/>
      <c r="D44" s="21"/>
      <c r="E44" s="19"/>
      <c r="F44" s="19"/>
      <c r="G44" s="19"/>
      <c r="H44" s="19"/>
      <c r="I44" s="19"/>
      <c r="J44" s="19"/>
      <c r="K44" s="19">
        <f t="shared" si="1"/>
        <v>0</v>
      </c>
      <c r="L44" s="2"/>
    </row>
    <row r="45" spans="1:12" x14ac:dyDescent="0.2">
      <c r="A45" s="30" t="s">
        <v>44</v>
      </c>
      <c r="B45" s="21"/>
      <c r="C45" s="21"/>
      <c r="D45" s="21"/>
      <c r="E45" s="22"/>
      <c r="F45" s="19"/>
      <c r="G45" s="19"/>
      <c r="H45" s="19"/>
      <c r="I45" s="19"/>
      <c r="J45" s="23"/>
      <c r="K45" s="23">
        <f t="shared" si="1"/>
        <v>0</v>
      </c>
    </row>
    <row r="46" spans="1:12" x14ac:dyDescent="0.2">
      <c r="A46" s="30" t="s">
        <v>46</v>
      </c>
      <c r="B46" s="21"/>
      <c r="C46" s="21"/>
      <c r="D46" s="21"/>
      <c r="E46" s="19"/>
      <c r="F46" s="19"/>
      <c r="G46" s="19"/>
      <c r="H46" s="19"/>
      <c r="I46" s="19"/>
      <c r="J46" s="19"/>
      <c r="K46" s="19">
        <f t="shared" si="1"/>
        <v>0</v>
      </c>
    </row>
    <row r="47" spans="1:12" x14ac:dyDescent="0.2">
      <c r="A47" s="30" t="s">
        <v>48</v>
      </c>
      <c r="B47" s="21"/>
      <c r="C47" s="21"/>
      <c r="D47" s="21"/>
      <c r="E47" s="19"/>
      <c r="F47" s="19"/>
      <c r="G47" s="170">
        <f>153400</f>
        <v>153400</v>
      </c>
      <c r="H47" s="19"/>
      <c r="I47" s="19"/>
      <c r="J47" s="19"/>
      <c r="K47" s="19">
        <f t="shared" si="1"/>
        <v>153400</v>
      </c>
    </row>
    <row r="48" spans="1:12" x14ac:dyDescent="0.2">
      <c r="A48" s="30" t="s">
        <v>50</v>
      </c>
      <c r="B48" s="21"/>
      <c r="C48" s="21"/>
      <c r="D48" s="21"/>
      <c r="E48" s="19"/>
      <c r="F48" s="19"/>
      <c r="G48" s="19"/>
      <c r="H48" s="19"/>
      <c r="I48" s="19"/>
      <c r="J48" s="19"/>
      <c r="K48" s="19">
        <f t="shared" si="1"/>
        <v>0</v>
      </c>
    </row>
    <row r="49" spans="1:11" x14ac:dyDescent="0.2">
      <c r="A49" s="30" t="s">
        <v>52</v>
      </c>
      <c r="B49" s="21"/>
      <c r="C49" s="21"/>
      <c r="D49" s="21"/>
      <c r="E49" s="19"/>
      <c r="F49" s="19"/>
      <c r="G49" s="19"/>
      <c r="H49" s="19"/>
      <c r="I49" s="19"/>
      <c r="J49" s="19"/>
      <c r="K49" s="19">
        <f t="shared" si="1"/>
        <v>0</v>
      </c>
    </row>
    <row r="50" spans="1:11" x14ac:dyDescent="0.2">
      <c r="A50" s="28" t="s">
        <v>43</v>
      </c>
      <c r="B50" s="10"/>
      <c r="C50" s="10"/>
      <c r="D50" s="10"/>
      <c r="E50" s="10">
        <f>SUM(E51:E54)</f>
        <v>0</v>
      </c>
      <c r="F50" s="10">
        <f t="shared" ref="F50:I50" si="10">SUM(F51:F54)</f>
        <v>0</v>
      </c>
      <c r="G50" s="10">
        <f t="shared" si="10"/>
        <v>0</v>
      </c>
      <c r="H50" s="10">
        <f t="shared" si="10"/>
        <v>0</v>
      </c>
      <c r="I50" s="10">
        <f t="shared" si="10"/>
        <v>585858</v>
      </c>
      <c r="J50" s="10">
        <f>SUM(J51:J54)</f>
        <v>0</v>
      </c>
      <c r="K50" s="10">
        <f t="shared" si="1"/>
        <v>585858</v>
      </c>
    </row>
    <row r="51" spans="1:11" x14ac:dyDescent="0.2">
      <c r="A51" s="30" t="s">
        <v>47</v>
      </c>
      <c r="B51" s="21"/>
      <c r="C51" s="21"/>
      <c r="D51" s="21"/>
      <c r="E51" s="19"/>
      <c r="F51" s="19"/>
      <c r="G51" s="19"/>
      <c r="H51" s="19"/>
      <c r="I51" s="19"/>
      <c r="J51" s="19"/>
      <c r="K51" s="19">
        <f t="shared" si="1"/>
        <v>0</v>
      </c>
    </row>
    <row r="52" spans="1:11" x14ac:dyDescent="0.2">
      <c r="A52" s="30" t="s">
        <v>45</v>
      </c>
      <c r="B52" s="21"/>
      <c r="C52" s="21"/>
      <c r="D52" s="21"/>
      <c r="E52" s="19"/>
      <c r="F52" s="19"/>
      <c r="G52" s="19"/>
      <c r="H52" s="19"/>
      <c r="I52" s="20">
        <f>585858</f>
        <v>585858</v>
      </c>
      <c r="J52" s="19"/>
      <c r="K52" s="19">
        <f t="shared" si="1"/>
        <v>585858</v>
      </c>
    </row>
    <row r="53" spans="1:11" x14ac:dyDescent="0.2">
      <c r="A53" s="30" t="s">
        <v>49</v>
      </c>
      <c r="B53" s="21"/>
      <c r="C53" s="21"/>
      <c r="D53" s="21"/>
      <c r="E53" s="19"/>
      <c r="F53" s="19"/>
      <c r="H53" s="19"/>
      <c r="I53" s="20"/>
      <c r="J53" s="19"/>
      <c r="K53" s="19">
        <f t="shared" si="1"/>
        <v>0</v>
      </c>
    </row>
    <row r="54" spans="1:11" x14ac:dyDescent="0.2">
      <c r="A54" s="30" t="s">
        <v>51</v>
      </c>
      <c r="B54" s="21"/>
      <c r="C54" s="21"/>
      <c r="D54" s="21"/>
      <c r="E54" s="19"/>
      <c r="F54" s="19"/>
      <c r="G54" s="19"/>
      <c r="H54" s="19"/>
      <c r="I54" s="20"/>
      <c r="J54" s="19"/>
      <c r="K54" s="19">
        <f t="shared" si="1"/>
        <v>0</v>
      </c>
    </row>
    <row r="55" spans="1:11" s="2" customFormat="1" ht="15" x14ac:dyDescent="0.2">
      <c r="A55" s="28" t="s">
        <v>53</v>
      </c>
      <c r="B55" s="11"/>
      <c r="C55" s="11"/>
      <c r="D55" s="11"/>
      <c r="E55" s="10">
        <f>SUM(E56:E67)</f>
        <v>0</v>
      </c>
      <c r="F55" s="10">
        <f t="shared" ref="F55:J55" si="11">SUM(F56:F67)</f>
        <v>42363</v>
      </c>
      <c r="G55" s="10">
        <f t="shared" si="11"/>
        <v>0</v>
      </c>
      <c r="H55" s="10">
        <f t="shared" si="11"/>
        <v>0</v>
      </c>
      <c r="I55" s="10">
        <f t="shared" si="11"/>
        <v>0</v>
      </c>
      <c r="J55" s="10">
        <f t="shared" si="11"/>
        <v>0</v>
      </c>
      <c r="K55" s="10">
        <f t="shared" si="1"/>
        <v>42363</v>
      </c>
    </row>
    <row r="56" spans="1:11" x14ac:dyDescent="0.2">
      <c r="A56" s="27" t="s">
        <v>54</v>
      </c>
      <c r="B56" s="11"/>
      <c r="C56" s="11"/>
      <c r="D56" s="11"/>
      <c r="E56" s="18"/>
      <c r="F56" s="18"/>
      <c r="G56" s="18"/>
      <c r="H56" s="18"/>
      <c r="I56" s="18"/>
      <c r="J56" s="18"/>
      <c r="K56" s="18">
        <f t="shared" si="1"/>
        <v>0</v>
      </c>
    </row>
    <row r="57" spans="1:11" x14ac:dyDescent="0.2">
      <c r="A57" s="27" t="s">
        <v>55</v>
      </c>
      <c r="B57" s="11"/>
      <c r="C57" s="11"/>
      <c r="D57" s="11"/>
      <c r="E57" s="18"/>
      <c r="F57" s="18"/>
      <c r="G57" s="18"/>
      <c r="H57" s="18"/>
      <c r="I57" s="18"/>
      <c r="J57" s="18"/>
      <c r="K57" s="18">
        <f t="shared" si="1"/>
        <v>0</v>
      </c>
    </row>
    <row r="58" spans="1:11" x14ac:dyDescent="0.2">
      <c r="A58" s="27" t="s">
        <v>56</v>
      </c>
      <c r="B58" s="11"/>
      <c r="C58" s="11"/>
      <c r="D58" s="11"/>
      <c r="E58" s="18"/>
      <c r="F58" s="18"/>
      <c r="G58" s="18"/>
      <c r="H58" s="18"/>
      <c r="I58" s="18"/>
      <c r="J58" s="18"/>
      <c r="K58" s="18">
        <f t="shared" si="1"/>
        <v>0</v>
      </c>
    </row>
    <row r="59" spans="1:11" x14ac:dyDescent="0.2">
      <c r="A59" s="27" t="s">
        <v>57</v>
      </c>
      <c r="B59" s="11"/>
      <c r="C59" s="11"/>
      <c r="D59" s="11"/>
      <c r="E59" s="18"/>
      <c r="F59" s="18">
        <f>42363</f>
        <v>42363</v>
      </c>
      <c r="G59" s="18"/>
      <c r="H59" s="18"/>
      <c r="I59" s="18"/>
      <c r="J59" s="18"/>
      <c r="K59" s="18">
        <f t="shared" si="1"/>
        <v>42363</v>
      </c>
    </row>
    <row r="60" spans="1:11" x14ac:dyDescent="0.2">
      <c r="A60" s="27" t="s">
        <v>58</v>
      </c>
      <c r="B60" s="11"/>
      <c r="C60" s="11"/>
      <c r="D60" s="11"/>
      <c r="E60" s="18"/>
      <c r="F60" s="18"/>
      <c r="G60" s="18"/>
      <c r="H60" s="18"/>
      <c r="I60" s="18"/>
      <c r="J60" s="18"/>
      <c r="K60" s="18">
        <f t="shared" si="1"/>
        <v>0</v>
      </c>
    </row>
    <row r="61" spans="1:11" x14ac:dyDescent="0.2">
      <c r="A61" s="27" t="s">
        <v>59</v>
      </c>
      <c r="B61" s="11"/>
      <c r="C61" s="11"/>
      <c r="D61" s="11"/>
      <c r="E61" s="16"/>
      <c r="F61" s="16"/>
      <c r="G61" s="15"/>
      <c r="H61" s="18"/>
      <c r="I61" s="18"/>
      <c r="J61" s="18"/>
      <c r="K61" s="18">
        <f t="shared" si="1"/>
        <v>0</v>
      </c>
    </row>
    <row r="62" spans="1:11" x14ac:dyDescent="0.2">
      <c r="A62" s="27" t="s">
        <v>60</v>
      </c>
      <c r="B62" s="11"/>
      <c r="C62" s="11"/>
      <c r="D62" s="11"/>
      <c r="E62" s="16"/>
      <c r="F62" s="16"/>
      <c r="G62" s="15"/>
      <c r="H62" s="18"/>
      <c r="I62" s="18"/>
      <c r="J62" s="18"/>
      <c r="K62" s="18">
        <f t="shared" si="1"/>
        <v>0</v>
      </c>
    </row>
    <row r="63" spans="1:11" x14ac:dyDescent="0.2">
      <c r="A63" s="27" t="s">
        <v>61</v>
      </c>
      <c r="B63" s="11"/>
      <c r="C63" s="11"/>
      <c r="D63" s="11"/>
      <c r="E63" s="18"/>
      <c r="F63" s="18"/>
      <c r="G63" s="18"/>
      <c r="H63" s="18"/>
      <c r="I63" s="18"/>
      <c r="J63" s="18"/>
      <c r="K63" s="18">
        <f t="shared" si="1"/>
        <v>0</v>
      </c>
    </row>
    <row r="64" spans="1:11" x14ac:dyDescent="0.2">
      <c r="A64" s="27" t="s">
        <v>62</v>
      </c>
      <c r="B64" s="11"/>
      <c r="C64" s="11"/>
      <c r="D64" s="11"/>
      <c r="E64" s="16"/>
      <c r="F64" s="16"/>
      <c r="G64" s="16"/>
      <c r="H64" s="23"/>
      <c r="I64" s="18"/>
      <c r="J64" s="18"/>
      <c r="K64" s="18">
        <f t="shared" si="1"/>
        <v>0</v>
      </c>
    </row>
    <row r="65" spans="1:11" x14ac:dyDescent="0.2">
      <c r="A65" s="27" t="s">
        <v>63</v>
      </c>
      <c r="B65" s="11"/>
      <c r="C65" s="11"/>
      <c r="D65" s="11"/>
      <c r="E65" s="16"/>
      <c r="F65" s="16"/>
      <c r="G65" s="15"/>
      <c r="H65" s="18"/>
      <c r="I65" s="18"/>
      <c r="J65" s="18"/>
      <c r="K65" s="18">
        <f t="shared" si="1"/>
        <v>0</v>
      </c>
    </row>
    <row r="66" spans="1:11" x14ac:dyDescent="0.2">
      <c r="A66" s="27" t="s">
        <v>64</v>
      </c>
      <c r="B66" s="11"/>
      <c r="C66" s="11"/>
      <c r="D66" s="11"/>
      <c r="E66" s="16"/>
      <c r="F66" s="16"/>
      <c r="G66" s="16"/>
      <c r="H66" s="16"/>
      <c r="I66" s="18"/>
      <c r="J66" s="18"/>
      <c r="K66" s="18">
        <f t="shared" si="1"/>
        <v>0</v>
      </c>
    </row>
    <row r="67" spans="1:11" x14ac:dyDescent="0.2">
      <c r="A67" s="27" t="s">
        <v>65</v>
      </c>
      <c r="B67" s="11"/>
      <c r="C67" s="11"/>
      <c r="D67" s="11"/>
      <c r="E67" s="16"/>
      <c r="F67" s="16"/>
      <c r="G67" s="16"/>
      <c r="H67" s="18"/>
      <c r="I67" s="18"/>
      <c r="J67" s="18"/>
      <c r="K67" s="18">
        <f t="shared" si="1"/>
        <v>0</v>
      </c>
    </row>
    <row r="68" spans="1:11" x14ac:dyDescent="0.2">
      <c r="A68" s="31" t="s">
        <v>66</v>
      </c>
      <c r="B68" s="10"/>
      <c r="C68" s="10"/>
      <c r="D68" s="10"/>
      <c r="E68" s="10">
        <f>SUM(E69:E85)</f>
        <v>0</v>
      </c>
      <c r="F68" s="10">
        <f t="shared" ref="F68:J68" si="12">SUM(F69:F85)</f>
        <v>0</v>
      </c>
      <c r="G68" s="10">
        <f t="shared" si="12"/>
        <v>0</v>
      </c>
      <c r="H68" s="10">
        <f t="shared" si="12"/>
        <v>0</v>
      </c>
      <c r="I68" s="10">
        <f t="shared" si="12"/>
        <v>0</v>
      </c>
      <c r="J68" s="10">
        <f t="shared" si="12"/>
        <v>0</v>
      </c>
      <c r="K68" s="10">
        <f t="shared" ref="K68:K98" si="13">SUM(E68:J68)</f>
        <v>0</v>
      </c>
    </row>
    <row r="69" spans="1:11" x14ac:dyDescent="0.2">
      <c r="A69" s="29" t="s">
        <v>67</v>
      </c>
      <c r="B69" s="21"/>
      <c r="C69" s="21"/>
      <c r="D69" s="21"/>
      <c r="E69" s="19"/>
      <c r="F69" s="19"/>
      <c r="G69" s="19"/>
      <c r="H69" s="19"/>
      <c r="I69" s="19"/>
      <c r="J69" s="19"/>
      <c r="K69" s="19">
        <f t="shared" si="13"/>
        <v>0</v>
      </c>
    </row>
    <row r="70" spans="1:11" x14ac:dyDescent="0.2">
      <c r="A70" s="29" t="s">
        <v>68</v>
      </c>
      <c r="B70" s="21"/>
      <c r="C70" s="21"/>
      <c r="D70" s="21"/>
      <c r="E70" s="19"/>
      <c r="F70" s="19"/>
      <c r="G70" s="19"/>
      <c r="H70" s="19"/>
      <c r="I70" s="19"/>
      <c r="J70" s="19"/>
      <c r="K70" s="19">
        <f t="shared" si="13"/>
        <v>0</v>
      </c>
    </row>
    <row r="71" spans="1:11" x14ac:dyDescent="0.2">
      <c r="A71" s="29" t="s">
        <v>69</v>
      </c>
      <c r="B71" s="21"/>
      <c r="C71" s="21"/>
      <c r="D71" s="21"/>
      <c r="E71" s="19"/>
      <c r="F71" s="19"/>
      <c r="G71" s="19"/>
      <c r="H71" s="19"/>
      <c r="I71" s="19"/>
      <c r="J71" s="19"/>
      <c r="K71" s="19">
        <f t="shared" si="13"/>
        <v>0</v>
      </c>
    </row>
    <row r="72" spans="1:11" x14ac:dyDescent="0.2">
      <c r="A72" s="29" t="s">
        <v>70</v>
      </c>
      <c r="B72" s="21"/>
      <c r="C72" s="21"/>
      <c r="D72" s="21"/>
      <c r="E72" s="19"/>
      <c r="F72" s="19"/>
      <c r="G72" s="19"/>
      <c r="H72" s="19"/>
      <c r="I72" s="19"/>
      <c r="J72" s="19"/>
      <c r="K72" s="19">
        <f t="shared" si="13"/>
        <v>0</v>
      </c>
    </row>
    <row r="73" spans="1:11" x14ac:dyDescent="0.2">
      <c r="A73" s="29" t="s">
        <v>71</v>
      </c>
      <c r="B73" s="21"/>
      <c r="C73" s="21"/>
      <c r="D73" s="21"/>
      <c r="E73" s="19"/>
      <c r="F73" s="19"/>
      <c r="G73" s="19"/>
      <c r="H73" s="19"/>
      <c r="I73" s="19"/>
      <c r="J73" s="19"/>
      <c r="K73" s="19">
        <f t="shared" si="13"/>
        <v>0</v>
      </c>
    </row>
    <row r="74" spans="1:11" x14ac:dyDescent="0.2">
      <c r="A74" s="29" t="s">
        <v>72</v>
      </c>
      <c r="B74" s="21"/>
      <c r="C74" s="21"/>
      <c r="D74" s="21"/>
      <c r="E74" s="19"/>
      <c r="F74" s="19"/>
      <c r="G74" s="19"/>
      <c r="H74" s="19"/>
      <c r="I74" s="19"/>
      <c r="J74" s="19"/>
      <c r="K74" s="19">
        <f t="shared" si="13"/>
        <v>0</v>
      </c>
    </row>
    <row r="75" spans="1:11" x14ac:dyDescent="0.2">
      <c r="A75" s="29" t="s">
        <v>73</v>
      </c>
      <c r="B75" s="21"/>
      <c r="C75" s="21"/>
      <c r="D75" s="21"/>
      <c r="E75" s="19"/>
      <c r="F75" s="19"/>
      <c r="G75" s="19"/>
      <c r="H75" s="19"/>
      <c r="I75" s="19"/>
      <c r="J75" s="19"/>
      <c r="K75" s="19">
        <f t="shared" si="13"/>
        <v>0</v>
      </c>
    </row>
    <row r="76" spans="1:11" x14ac:dyDescent="0.2">
      <c r="A76" s="29" t="s">
        <v>74</v>
      </c>
      <c r="B76" s="21"/>
      <c r="C76" s="21"/>
      <c r="D76" s="21"/>
      <c r="E76" s="19"/>
      <c r="F76" s="19"/>
      <c r="G76" s="19"/>
      <c r="H76" s="19"/>
      <c r="I76" s="19"/>
      <c r="J76" s="19"/>
      <c r="K76" s="19">
        <f t="shared" si="13"/>
        <v>0</v>
      </c>
    </row>
    <row r="77" spans="1:11" x14ac:dyDescent="0.2">
      <c r="A77" s="29" t="s">
        <v>75</v>
      </c>
      <c r="B77" s="21"/>
      <c r="C77" s="21"/>
      <c r="D77" s="21"/>
      <c r="E77" s="19"/>
      <c r="F77" s="19"/>
      <c r="G77" s="19"/>
      <c r="H77" s="19"/>
      <c r="I77" s="24"/>
      <c r="J77" s="19"/>
      <c r="K77" s="19">
        <f t="shared" si="13"/>
        <v>0</v>
      </c>
    </row>
    <row r="78" spans="1:11" x14ac:dyDescent="0.2">
      <c r="A78" s="29" t="s">
        <v>76</v>
      </c>
      <c r="B78" s="21"/>
      <c r="C78" s="21"/>
      <c r="D78" s="21"/>
      <c r="E78" s="19"/>
      <c r="F78" s="19"/>
      <c r="G78" s="19"/>
      <c r="H78" s="19"/>
      <c r="I78" s="19"/>
      <c r="J78" s="19"/>
      <c r="K78" s="19">
        <f t="shared" si="13"/>
        <v>0</v>
      </c>
    </row>
    <row r="79" spans="1:11" x14ac:dyDescent="0.2">
      <c r="A79" s="29" t="s">
        <v>62</v>
      </c>
      <c r="B79" s="21"/>
      <c r="C79" s="21"/>
      <c r="D79" s="21"/>
      <c r="E79" s="19"/>
      <c r="F79" s="19"/>
      <c r="G79" s="19"/>
      <c r="H79" s="19"/>
      <c r="I79" s="19"/>
      <c r="J79" s="19"/>
      <c r="K79" s="19">
        <f t="shared" si="13"/>
        <v>0</v>
      </c>
    </row>
    <row r="80" spans="1:11" x14ac:dyDescent="0.2">
      <c r="A80" s="29" t="s">
        <v>77</v>
      </c>
      <c r="B80" s="21"/>
      <c r="C80" s="21"/>
      <c r="D80" s="21"/>
      <c r="E80" s="19"/>
      <c r="F80" s="19"/>
      <c r="G80" s="19"/>
      <c r="H80" s="19"/>
      <c r="I80" s="19"/>
      <c r="J80" s="19"/>
      <c r="K80" s="19">
        <f t="shared" si="13"/>
        <v>0</v>
      </c>
    </row>
    <row r="81" spans="1:11" x14ac:dyDescent="0.2">
      <c r="A81" s="29" t="s">
        <v>78</v>
      </c>
      <c r="B81" s="21"/>
      <c r="C81" s="21"/>
      <c r="D81" s="21"/>
      <c r="E81" s="19"/>
      <c r="F81" s="19"/>
      <c r="G81" s="19"/>
      <c r="H81" s="19"/>
      <c r="I81" s="19"/>
      <c r="J81" s="19"/>
      <c r="K81" s="19">
        <f t="shared" si="13"/>
        <v>0</v>
      </c>
    </row>
    <row r="82" spans="1:11" x14ac:dyDescent="0.2">
      <c r="A82" s="29" t="s">
        <v>79</v>
      </c>
      <c r="B82" s="21"/>
      <c r="C82" s="21"/>
      <c r="D82" s="21"/>
      <c r="E82" s="19"/>
      <c r="F82" s="19"/>
      <c r="G82" s="19"/>
      <c r="H82" s="19"/>
      <c r="I82" s="19"/>
      <c r="J82" s="19"/>
      <c r="K82" s="19">
        <f t="shared" si="13"/>
        <v>0</v>
      </c>
    </row>
    <row r="83" spans="1:11" x14ac:dyDescent="0.2">
      <c r="A83" s="29" t="s">
        <v>80</v>
      </c>
      <c r="B83" s="21"/>
      <c r="C83" s="21"/>
      <c r="D83" s="21"/>
      <c r="E83" s="19"/>
      <c r="F83" s="19"/>
      <c r="G83" s="19"/>
      <c r="H83" s="19"/>
      <c r="I83" s="19"/>
      <c r="J83" s="19"/>
      <c r="K83" s="19">
        <f t="shared" si="13"/>
        <v>0</v>
      </c>
    </row>
    <row r="84" spans="1:11" x14ac:dyDescent="0.2">
      <c r="A84" s="29" t="s">
        <v>81</v>
      </c>
      <c r="B84" s="21"/>
      <c r="C84" s="21"/>
      <c r="D84" s="21"/>
      <c r="E84" s="19"/>
      <c r="F84" s="19"/>
      <c r="G84" s="19"/>
      <c r="H84" s="19"/>
      <c r="I84" s="19"/>
      <c r="J84" s="19"/>
      <c r="K84" s="19">
        <f t="shared" si="13"/>
        <v>0</v>
      </c>
    </row>
    <row r="85" spans="1:11" x14ac:dyDescent="0.2">
      <c r="A85" s="29" t="s">
        <v>82</v>
      </c>
      <c r="B85" s="21"/>
      <c r="C85" s="21"/>
      <c r="D85" s="21"/>
      <c r="E85" s="19"/>
      <c r="F85" s="19"/>
      <c r="G85" s="19"/>
      <c r="H85" s="19"/>
      <c r="I85" s="19"/>
      <c r="J85" s="19"/>
      <c r="K85" s="19">
        <f t="shared" si="13"/>
        <v>0</v>
      </c>
    </row>
    <row r="86" spans="1:11" x14ac:dyDescent="0.2">
      <c r="A86" s="28" t="s">
        <v>83</v>
      </c>
      <c r="B86" s="10"/>
      <c r="C86" s="10"/>
      <c r="D86" s="10"/>
      <c r="E86" s="10">
        <f>SUM(E87)</f>
        <v>0</v>
      </c>
      <c r="F86" s="10">
        <f t="shared" ref="F86:J86" si="14">SUM(F87)</f>
        <v>0</v>
      </c>
      <c r="G86" s="10">
        <f t="shared" si="14"/>
        <v>0</v>
      </c>
      <c r="H86" s="10">
        <f t="shared" si="14"/>
        <v>0</v>
      </c>
      <c r="I86" s="10">
        <f t="shared" si="14"/>
        <v>0</v>
      </c>
      <c r="J86" s="10">
        <f t="shared" si="14"/>
        <v>0</v>
      </c>
      <c r="K86" s="10">
        <f t="shared" si="13"/>
        <v>0</v>
      </c>
    </row>
    <row r="87" spans="1:11" x14ac:dyDescent="0.2">
      <c r="A87" s="29" t="s">
        <v>84</v>
      </c>
      <c r="B87" s="21"/>
      <c r="C87" s="21"/>
      <c r="D87" s="21"/>
      <c r="E87" s="19"/>
      <c r="F87" s="19"/>
      <c r="G87" s="20"/>
      <c r="H87" s="19"/>
      <c r="I87" s="19"/>
      <c r="J87" s="19"/>
      <c r="K87" s="19">
        <f t="shared" si="13"/>
        <v>0</v>
      </c>
    </row>
    <row r="88" spans="1:11" x14ac:dyDescent="0.2">
      <c r="A88" s="31" t="s">
        <v>85</v>
      </c>
      <c r="B88" s="10"/>
      <c r="C88" s="10"/>
      <c r="D88" s="10"/>
      <c r="E88" s="10">
        <f>SUM(E89:E90)</f>
        <v>0</v>
      </c>
      <c r="F88" s="10">
        <f t="shared" ref="F88:J88" si="15">SUM(F89:F90)</f>
        <v>0</v>
      </c>
      <c r="G88" s="10">
        <f t="shared" si="15"/>
        <v>2305000</v>
      </c>
      <c r="H88" s="10">
        <f t="shared" si="15"/>
        <v>112714</v>
      </c>
      <c r="I88" s="10">
        <f t="shared" si="15"/>
        <v>0</v>
      </c>
      <c r="J88" s="10">
        <f t="shared" si="15"/>
        <v>0</v>
      </c>
      <c r="K88" s="10">
        <f t="shared" si="13"/>
        <v>2417714</v>
      </c>
    </row>
    <row r="89" spans="1:11" x14ac:dyDescent="0.2">
      <c r="A89" s="29" t="s">
        <v>86</v>
      </c>
      <c r="B89" s="21"/>
      <c r="C89" s="21"/>
      <c r="D89" s="21"/>
      <c r="E89" s="19"/>
      <c r="F89" s="19"/>
      <c r="G89" s="19"/>
      <c r="H89" s="19">
        <f>2714</f>
        <v>2714</v>
      </c>
      <c r="I89" s="19"/>
      <c r="J89" s="19"/>
      <c r="K89" s="19">
        <f t="shared" si="13"/>
        <v>2714</v>
      </c>
    </row>
    <row r="90" spans="1:11" x14ac:dyDescent="0.2">
      <c r="A90" s="29" t="s">
        <v>87</v>
      </c>
      <c r="B90" s="21"/>
      <c r="C90" s="21"/>
      <c r="D90" s="21"/>
      <c r="E90" s="19"/>
      <c r="F90" s="19"/>
      <c r="G90" s="19">
        <f>2305000</f>
        <v>2305000</v>
      </c>
      <c r="H90" s="20">
        <f>110000</f>
        <v>110000</v>
      </c>
      <c r="I90" s="17"/>
      <c r="J90" s="19"/>
      <c r="K90" s="19">
        <f t="shared" si="13"/>
        <v>2415000</v>
      </c>
    </row>
    <row r="91" spans="1:11" x14ac:dyDescent="0.2">
      <c r="A91" s="28" t="s">
        <v>88</v>
      </c>
      <c r="B91" s="10">
        <v>875767</v>
      </c>
      <c r="C91" s="10">
        <v>35.799999999999997</v>
      </c>
      <c r="D91" s="10">
        <v>20</v>
      </c>
      <c r="E91" s="10">
        <f>SUM(E92:E98)</f>
        <v>0</v>
      </c>
      <c r="F91" s="10">
        <f t="shared" ref="F91:H91" si="16">SUM(F92:F98)</f>
        <v>72515</v>
      </c>
      <c r="G91" s="10">
        <f t="shared" si="16"/>
        <v>2438089</v>
      </c>
      <c r="H91" s="10">
        <f t="shared" si="16"/>
        <v>595553</v>
      </c>
      <c r="I91" s="10">
        <f>SUM(I92:I98)</f>
        <v>20081</v>
      </c>
      <c r="J91" s="10">
        <f>SUM(J92:J98)</f>
        <v>0</v>
      </c>
      <c r="K91" s="10">
        <f t="shared" si="13"/>
        <v>3126238</v>
      </c>
    </row>
    <row r="92" spans="1:11" x14ac:dyDescent="0.2">
      <c r="A92" s="27" t="s">
        <v>89</v>
      </c>
      <c r="B92" s="11"/>
      <c r="C92" s="11"/>
      <c r="D92" s="11"/>
      <c r="E92" s="25"/>
      <c r="F92" s="25"/>
      <c r="G92" s="25">
        <f>23600+233541+40000</f>
        <v>297141</v>
      </c>
      <c r="H92" s="25">
        <f>489353</f>
        <v>489353</v>
      </c>
      <c r="I92" s="20"/>
      <c r="J92" s="25"/>
      <c r="K92" s="25">
        <f t="shared" si="13"/>
        <v>786494</v>
      </c>
    </row>
    <row r="93" spans="1:11" x14ac:dyDescent="0.2">
      <c r="A93" s="27" t="s">
        <v>90</v>
      </c>
      <c r="B93" s="11"/>
      <c r="C93" s="11"/>
      <c r="D93" s="11"/>
      <c r="E93" s="25"/>
      <c r="F93" s="25"/>
      <c r="G93" s="170">
        <f>7000</f>
        <v>7000</v>
      </c>
      <c r="H93" s="25"/>
      <c r="I93" s="20"/>
      <c r="J93" s="25"/>
      <c r="K93" s="25">
        <f t="shared" si="13"/>
        <v>7000</v>
      </c>
    </row>
    <row r="94" spans="1:11" x14ac:dyDescent="0.2">
      <c r="A94" s="27" t="s">
        <v>91</v>
      </c>
      <c r="B94" s="11"/>
      <c r="C94" s="11"/>
      <c r="D94" s="11"/>
      <c r="E94" s="25"/>
      <c r="F94" s="25"/>
      <c r="G94" s="25">
        <f>267750+976500+183750+267750+288750+15340+21830+15340</f>
        <v>2037010</v>
      </c>
      <c r="H94" s="25"/>
      <c r="I94" s="20">
        <f>20081</f>
        <v>20081</v>
      </c>
      <c r="J94" s="25"/>
      <c r="K94" s="25">
        <f t="shared" si="13"/>
        <v>2057091</v>
      </c>
    </row>
    <row r="95" spans="1:11" x14ac:dyDescent="0.2">
      <c r="A95" s="30" t="s">
        <v>92</v>
      </c>
      <c r="B95" s="21"/>
      <c r="C95" s="21"/>
      <c r="D95" s="21"/>
      <c r="E95" s="25"/>
      <c r="F95" s="25"/>
      <c r="G95" s="25"/>
      <c r="H95" s="25"/>
      <c r="I95" s="20"/>
      <c r="J95" s="25"/>
      <c r="K95" s="25">
        <f t="shared" si="13"/>
        <v>0</v>
      </c>
    </row>
    <row r="96" spans="1:11" x14ac:dyDescent="0.2">
      <c r="A96" s="30" t="s">
        <v>93</v>
      </c>
      <c r="B96" s="21"/>
      <c r="C96" s="21"/>
      <c r="D96" s="21"/>
      <c r="E96" s="25"/>
      <c r="F96" s="25"/>
      <c r="G96" s="25"/>
      <c r="H96" s="25"/>
      <c r="I96" s="20"/>
      <c r="J96" s="25"/>
      <c r="K96" s="25">
        <f t="shared" si="13"/>
        <v>0</v>
      </c>
    </row>
    <row r="97" spans="1:12" x14ac:dyDescent="0.2">
      <c r="A97" s="30" t="s">
        <v>94</v>
      </c>
      <c r="B97" s="21"/>
      <c r="C97" s="21"/>
      <c r="D97" s="21"/>
      <c r="E97" s="23"/>
      <c r="F97" s="23">
        <f>8270+13506+6932+43807</f>
        <v>72515</v>
      </c>
      <c r="G97" s="23">
        <f>6785+46077+44076</f>
        <v>96938</v>
      </c>
      <c r="H97" s="23">
        <f>106200</f>
        <v>106200</v>
      </c>
      <c r="I97" s="20"/>
      <c r="J97" s="23"/>
      <c r="K97" s="23">
        <f t="shared" si="13"/>
        <v>275653</v>
      </c>
    </row>
    <row r="98" spans="1:12" x14ac:dyDescent="0.2">
      <c r="A98" s="30" t="s">
        <v>95</v>
      </c>
      <c r="B98" s="21"/>
      <c r="C98" s="21"/>
      <c r="D98" s="21"/>
      <c r="E98" s="23"/>
      <c r="F98" s="23"/>
      <c r="G98" s="23"/>
      <c r="I98" s="23"/>
      <c r="J98" s="23"/>
      <c r="K98" s="23">
        <f t="shared" si="13"/>
        <v>0</v>
      </c>
    </row>
    <row r="99" spans="1:12" ht="14.25" customHeight="1" thickBot="1" x14ac:dyDescent="0.25">
      <c r="A99" s="32" t="s">
        <v>96</v>
      </c>
      <c r="B99" s="33"/>
      <c r="C99" s="33"/>
      <c r="D99" s="33"/>
      <c r="E99" s="34">
        <f>SUM(E91,E88,E86,E68,E55,E50,E43,E41,E39,E34,E27,E17,E15,E8,E4)</f>
        <v>861400</v>
      </c>
      <c r="F99" s="34">
        <f t="shared" ref="F99:J99" si="17">SUM(F91,F88,F86,F68,F55,F50,F43,F41,F39,F34,F27,F17,F15,F8,F4)</f>
        <v>533967</v>
      </c>
      <c r="G99" s="34">
        <f t="shared" si="17"/>
        <v>6084856</v>
      </c>
      <c r="H99" s="34">
        <f t="shared" si="17"/>
        <v>727737</v>
      </c>
      <c r="I99" s="34">
        <f t="shared" si="17"/>
        <v>763115</v>
      </c>
      <c r="J99" s="34">
        <f t="shared" si="17"/>
        <v>0</v>
      </c>
      <c r="K99" s="34">
        <f>SUM(E99:J99)</f>
        <v>8971075</v>
      </c>
      <c r="L99"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09383-D320-CF4D-A6FA-BAD09A43065B}">
  <dimension ref="A1:L99"/>
  <sheetViews>
    <sheetView topLeftCell="A11" zoomScale="136" workbookViewId="0">
      <selection activeCell="H37" sqref="H37"/>
    </sheetView>
  </sheetViews>
  <sheetFormatPr baseColWidth="10" defaultColWidth="8.83203125" defaultRowHeight="16" x14ac:dyDescent="0.2"/>
  <cols>
    <col min="1" max="1" width="68.1640625" style="4" customWidth="1"/>
    <col min="2" max="2" width="24.6640625" style="4" hidden="1" customWidth="1"/>
    <col min="3" max="3" width="23.1640625" style="4" hidden="1" customWidth="1"/>
    <col min="4" max="4" width="21" style="4" hidden="1" customWidth="1"/>
    <col min="5" max="5" width="10" style="5" bestFit="1" customWidth="1"/>
    <col min="6" max="6" width="12.6640625" style="5" bestFit="1" customWidth="1"/>
    <col min="7" max="7" width="13.6640625" bestFit="1" customWidth="1"/>
    <col min="8" max="10" width="14.5" bestFit="1" customWidth="1"/>
    <col min="11" max="11" width="11.33203125" bestFit="1" customWidth="1"/>
    <col min="12" max="12" width="13.1640625" customWidth="1"/>
  </cols>
  <sheetData>
    <row r="1" spans="1:11" ht="23" thickBot="1" x14ac:dyDescent="0.25">
      <c r="A1" s="155" t="s">
        <v>108</v>
      </c>
      <c r="B1" s="156"/>
      <c r="C1" s="156"/>
      <c r="D1" s="156"/>
      <c r="E1" s="156"/>
      <c r="F1" s="156"/>
      <c r="G1" s="156"/>
      <c r="H1" s="156"/>
      <c r="I1" s="156"/>
      <c r="J1" s="156"/>
    </row>
    <row r="2" spans="1:11" ht="32" x14ac:dyDescent="0.2">
      <c r="A2" s="26" t="s">
        <v>0</v>
      </c>
      <c r="B2" s="6"/>
      <c r="C2" s="6"/>
      <c r="D2" s="6"/>
      <c r="E2" s="7" t="s">
        <v>107</v>
      </c>
      <c r="F2" s="35" t="s">
        <v>141</v>
      </c>
      <c r="G2" s="35" t="s">
        <v>142</v>
      </c>
      <c r="H2" s="35" t="s">
        <v>143</v>
      </c>
      <c r="I2" s="35" t="s">
        <v>145</v>
      </c>
      <c r="J2" s="35" t="s">
        <v>144</v>
      </c>
      <c r="K2" s="143" t="s">
        <v>116</v>
      </c>
    </row>
    <row r="3" spans="1:11" x14ac:dyDescent="0.2">
      <c r="A3" s="27"/>
      <c r="B3" s="8"/>
      <c r="C3" s="8"/>
      <c r="D3" s="8"/>
      <c r="E3" s="9"/>
      <c r="F3" s="9"/>
      <c r="G3" s="9"/>
      <c r="H3" s="9"/>
      <c r="I3" s="9"/>
      <c r="J3" s="9"/>
      <c r="K3" s="9"/>
    </row>
    <row r="4" spans="1:11" x14ac:dyDescent="0.2">
      <c r="A4" s="28" t="s">
        <v>2</v>
      </c>
      <c r="B4" s="10">
        <v>725167</v>
      </c>
      <c r="C4" s="10">
        <v>31.1</v>
      </c>
      <c r="D4" s="10">
        <v>11</v>
      </c>
      <c r="E4" s="10">
        <f>SUM(E5:E7)</f>
        <v>1032500</v>
      </c>
      <c r="F4" s="10">
        <f t="shared" ref="F4:J4" si="0">SUM(F5:F7)</f>
        <v>0</v>
      </c>
      <c r="G4" s="10">
        <f t="shared" si="0"/>
        <v>0</v>
      </c>
      <c r="H4" s="10">
        <f t="shared" si="0"/>
        <v>0</v>
      </c>
      <c r="I4" s="10">
        <f t="shared" si="0"/>
        <v>0</v>
      </c>
      <c r="J4" s="10">
        <f t="shared" si="0"/>
        <v>0</v>
      </c>
      <c r="K4" s="10">
        <f t="shared" ref="K4:K67" si="1">SUM(E4:J4)</f>
        <v>1032500</v>
      </c>
    </row>
    <row r="5" spans="1:11" x14ac:dyDescent="0.2">
      <c r="A5" s="27" t="s">
        <v>3</v>
      </c>
      <c r="B5" s="11"/>
      <c r="C5" s="11"/>
      <c r="D5" s="11"/>
      <c r="E5" s="12">
        <v>761100</v>
      </c>
      <c r="F5" s="12"/>
      <c r="G5" s="12"/>
      <c r="H5" s="12"/>
      <c r="I5" s="12"/>
      <c r="J5" s="12"/>
      <c r="K5" s="12">
        <f t="shared" si="1"/>
        <v>761100</v>
      </c>
    </row>
    <row r="6" spans="1:11" x14ac:dyDescent="0.2">
      <c r="A6" s="27" t="s">
        <v>4</v>
      </c>
      <c r="B6" s="11"/>
      <c r="C6" s="11"/>
      <c r="D6" s="11"/>
      <c r="E6" s="12">
        <v>236000</v>
      </c>
      <c r="F6" s="12"/>
      <c r="G6" s="12"/>
      <c r="H6" s="12"/>
      <c r="I6" s="12"/>
      <c r="J6" s="12"/>
      <c r="K6" s="12">
        <f t="shared" si="1"/>
        <v>236000</v>
      </c>
    </row>
    <row r="7" spans="1:11" x14ac:dyDescent="0.2">
      <c r="A7" s="27" t="s">
        <v>5</v>
      </c>
      <c r="B7" s="11"/>
      <c r="C7" s="11"/>
      <c r="D7" s="11"/>
      <c r="E7" s="13">
        <v>35400</v>
      </c>
      <c r="F7" s="13"/>
      <c r="G7" s="170"/>
      <c r="H7" s="13"/>
      <c r="I7" s="13"/>
      <c r="J7" s="13"/>
      <c r="K7" s="13">
        <f t="shared" si="1"/>
        <v>35400</v>
      </c>
    </row>
    <row r="8" spans="1:11" x14ac:dyDescent="0.2">
      <c r="A8" s="28" t="s">
        <v>6</v>
      </c>
      <c r="B8" s="10"/>
      <c r="C8" s="10"/>
      <c r="D8" s="10">
        <v>9</v>
      </c>
      <c r="E8" s="10">
        <f>SUM(E9:E14)</f>
        <v>0</v>
      </c>
      <c r="F8" s="10">
        <f t="shared" ref="F8:J8" si="2">SUM(F9:F14)</f>
        <v>0</v>
      </c>
      <c r="G8" s="10">
        <f t="shared" si="2"/>
        <v>0</v>
      </c>
      <c r="H8" s="10">
        <f t="shared" si="2"/>
        <v>0</v>
      </c>
      <c r="I8" s="10">
        <f t="shared" si="2"/>
        <v>0</v>
      </c>
      <c r="J8" s="10">
        <f t="shared" si="2"/>
        <v>0</v>
      </c>
      <c r="K8" s="10">
        <f t="shared" si="1"/>
        <v>0</v>
      </c>
    </row>
    <row r="9" spans="1:11" x14ac:dyDescent="0.2">
      <c r="A9" s="27" t="s">
        <v>7</v>
      </c>
      <c r="B9" s="11"/>
      <c r="C9" s="11"/>
      <c r="D9" s="11"/>
      <c r="E9" s="13"/>
      <c r="F9" s="13"/>
      <c r="G9" s="13"/>
      <c r="H9" s="13"/>
      <c r="I9" s="13"/>
      <c r="J9" s="13"/>
      <c r="K9" s="13">
        <f t="shared" si="1"/>
        <v>0</v>
      </c>
    </row>
    <row r="10" spans="1:11" x14ac:dyDescent="0.2">
      <c r="A10" s="27" t="s">
        <v>8</v>
      </c>
      <c r="B10" s="11"/>
      <c r="C10" s="11"/>
      <c r="D10" s="11"/>
      <c r="E10" s="13"/>
      <c r="F10" s="13"/>
      <c r="G10" s="13"/>
      <c r="H10" s="13"/>
      <c r="I10" s="13"/>
      <c r="J10" s="13"/>
      <c r="K10" s="13">
        <f t="shared" si="1"/>
        <v>0</v>
      </c>
    </row>
    <row r="11" spans="1:11" x14ac:dyDescent="0.2">
      <c r="A11" s="27" t="s">
        <v>9</v>
      </c>
      <c r="B11" s="11"/>
      <c r="C11" s="11"/>
      <c r="D11" s="11"/>
      <c r="E11" s="13"/>
      <c r="F11" s="13"/>
      <c r="G11" s="13"/>
      <c r="H11" s="13"/>
      <c r="J11" s="13"/>
      <c r="K11" s="13">
        <f t="shared" si="1"/>
        <v>0</v>
      </c>
    </row>
    <row r="12" spans="1:11" x14ac:dyDescent="0.2">
      <c r="A12" s="27" t="s">
        <v>10</v>
      </c>
      <c r="B12" s="11"/>
      <c r="C12" s="11"/>
      <c r="D12" s="11"/>
      <c r="E12" s="13"/>
      <c r="F12" s="13"/>
      <c r="G12" s="13"/>
      <c r="H12" s="13"/>
      <c r="I12" s="13"/>
      <c r="J12" s="13"/>
      <c r="K12" s="13">
        <f t="shared" si="1"/>
        <v>0</v>
      </c>
    </row>
    <row r="13" spans="1:11" x14ac:dyDescent="0.2">
      <c r="A13" s="27" t="s">
        <v>11</v>
      </c>
      <c r="B13" s="11"/>
      <c r="C13" s="11"/>
      <c r="D13" s="11"/>
      <c r="E13" s="13"/>
      <c r="F13" s="13"/>
      <c r="G13" s="13"/>
      <c r="H13" s="13"/>
      <c r="I13" s="13"/>
      <c r="J13" s="13"/>
      <c r="K13" s="13">
        <f t="shared" si="1"/>
        <v>0</v>
      </c>
    </row>
    <row r="14" spans="1:11" x14ac:dyDescent="0.2">
      <c r="A14" s="27" t="s">
        <v>12</v>
      </c>
      <c r="B14" s="11"/>
      <c r="C14" s="11"/>
      <c r="D14" s="11"/>
      <c r="E14" s="13"/>
      <c r="F14" s="13"/>
      <c r="G14" s="13"/>
      <c r="H14" s="13"/>
      <c r="I14" s="13"/>
      <c r="J14" s="13"/>
      <c r="K14" s="13">
        <f t="shared" si="1"/>
        <v>0</v>
      </c>
    </row>
    <row r="15" spans="1:11" x14ac:dyDescent="0.2">
      <c r="A15" s="28" t="s">
        <v>13</v>
      </c>
      <c r="B15" s="10">
        <v>724989</v>
      </c>
      <c r="C15" s="10">
        <v>29.55</v>
      </c>
      <c r="D15" s="10">
        <v>16</v>
      </c>
      <c r="E15" s="10">
        <f>SUM(E16)</f>
        <v>0</v>
      </c>
      <c r="F15" s="10">
        <f t="shared" ref="F15:H15" si="3">SUM(F16)</f>
        <v>0</v>
      </c>
      <c r="G15" s="10">
        <f t="shared" si="3"/>
        <v>0</v>
      </c>
      <c r="H15" s="10">
        <f t="shared" si="3"/>
        <v>0</v>
      </c>
      <c r="I15" s="10">
        <f>SUM(I16)</f>
        <v>0</v>
      </c>
      <c r="J15" s="10">
        <f>SUM(J16)</f>
        <v>0</v>
      </c>
      <c r="K15" s="10">
        <f t="shared" si="1"/>
        <v>0</v>
      </c>
    </row>
    <row r="16" spans="1:11" x14ac:dyDescent="0.2">
      <c r="A16" s="27" t="s">
        <v>14</v>
      </c>
      <c r="B16" s="11"/>
      <c r="C16" s="11"/>
      <c r="D16" s="11"/>
      <c r="E16" s="169"/>
      <c r="F16" s="169"/>
      <c r="G16" s="169"/>
      <c r="H16" s="169"/>
      <c r="J16" s="169"/>
      <c r="K16" s="14">
        <f t="shared" si="1"/>
        <v>0</v>
      </c>
    </row>
    <row r="17" spans="1:11" x14ac:dyDescent="0.2">
      <c r="A17" s="28" t="s">
        <v>15</v>
      </c>
      <c r="B17" s="10"/>
      <c r="C17" s="10">
        <v>0</v>
      </c>
      <c r="D17" s="10">
        <v>16</v>
      </c>
      <c r="E17" s="10">
        <f>SUM(E18:E26)</f>
        <v>0</v>
      </c>
      <c r="F17" s="10">
        <f t="shared" ref="F17:J17" si="4">SUM(F18:F26)</f>
        <v>0</v>
      </c>
      <c r="G17" s="10">
        <f t="shared" si="4"/>
        <v>0</v>
      </c>
      <c r="H17" s="10">
        <f t="shared" si="4"/>
        <v>15000</v>
      </c>
      <c r="I17" s="10">
        <f t="shared" si="4"/>
        <v>0</v>
      </c>
      <c r="J17" s="10">
        <f t="shared" si="4"/>
        <v>0</v>
      </c>
      <c r="K17" s="10">
        <f t="shared" si="1"/>
        <v>15000</v>
      </c>
    </row>
    <row r="18" spans="1:11" x14ac:dyDescent="0.2">
      <c r="A18" s="27" t="s">
        <v>16</v>
      </c>
      <c r="B18" s="11"/>
      <c r="C18" s="11"/>
      <c r="D18" s="11"/>
      <c r="E18" s="169"/>
      <c r="F18" s="169"/>
      <c r="G18" s="169"/>
      <c r="H18" s="169"/>
      <c r="I18" s="169"/>
      <c r="J18" s="169"/>
      <c r="K18" s="14">
        <f t="shared" si="1"/>
        <v>0</v>
      </c>
    </row>
    <row r="19" spans="1:11" x14ac:dyDescent="0.2">
      <c r="A19" s="27" t="s">
        <v>17</v>
      </c>
      <c r="B19" s="11"/>
      <c r="C19" s="11"/>
      <c r="D19" s="11"/>
      <c r="E19" s="169"/>
      <c r="F19" s="169"/>
      <c r="G19" s="169"/>
      <c r="H19" s="169"/>
      <c r="I19" s="169"/>
      <c r="J19" s="169"/>
      <c r="K19" s="14">
        <f t="shared" si="1"/>
        <v>0</v>
      </c>
    </row>
    <row r="20" spans="1:11" x14ac:dyDescent="0.2">
      <c r="A20" s="27" t="s">
        <v>18</v>
      </c>
      <c r="B20" s="11"/>
      <c r="C20" s="11"/>
      <c r="D20" s="11"/>
      <c r="E20" s="169"/>
      <c r="F20" s="169"/>
      <c r="G20" s="169"/>
      <c r="H20" s="169"/>
      <c r="I20" s="169"/>
      <c r="J20" s="169"/>
      <c r="K20" s="14">
        <f t="shared" si="1"/>
        <v>0</v>
      </c>
    </row>
    <row r="21" spans="1:11" x14ac:dyDescent="0.2">
      <c r="A21" s="27" t="s">
        <v>19</v>
      </c>
      <c r="B21" s="11"/>
      <c r="C21" s="11"/>
      <c r="D21" s="11"/>
      <c r="E21" s="169"/>
      <c r="F21" s="169"/>
      <c r="G21" s="169"/>
      <c r="H21" s="169"/>
      <c r="I21" s="169"/>
      <c r="J21" s="169"/>
      <c r="K21" s="14">
        <f t="shared" si="1"/>
        <v>0</v>
      </c>
    </row>
    <row r="22" spans="1:11" x14ac:dyDescent="0.2">
      <c r="A22" s="29" t="s">
        <v>20</v>
      </c>
      <c r="B22" s="11"/>
      <c r="C22" s="11"/>
      <c r="D22" s="11"/>
      <c r="E22" s="169"/>
      <c r="F22" s="169"/>
      <c r="G22" s="169"/>
      <c r="H22" s="169"/>
      <c r="I22" s="169"/>
      <c r="J22" s="169"/>
      <c r="K22" s="14">
        <f t="shared" si="1"/>
        <v>0</v>
      </c>
    </row>
    <row r="23" spans="1:11" x14ac:dyDescent="0.2">
      <c r="A23" s="29" t="s">
        <v>21</v>
      </c>
      <c r="B23" s="11"/>
      <c r="C23" s="11"/>
      <c r="D23" s="11"/>
      <c r="E23" s="169"/>
      <c r="F23" s="169"/>
      <c r="G23" s="169"/>
      <c r="H23" s="169"/>
      <c r="I23" s="169"/>
      <c r="J23" s="169"/>
      <c r="K23" s="14">
        <f t="shared" si="1"/>
        <v>0</v>
      </c>
    </row>
    <row r="24" spans="1:11" x14ac:dyDescent="0.2">
      <c r="A24" s="29" t="s">
        <v>22</v>
      </c>
      <c r="B24" s="11"/>
      <c r="C24" s="11"/>
      <c r="D24" s="11"/>
      <c r="E24" s="169"/>
      <c r="F24" s="169"/>
      <c r="G24" s="169"/>
      <c r="H24" s="169"/>
      <c r="I24" s="169"/>
      <c r="J24" s="169"/>
      <c r="K24" s="14">
        <f t="shared" si="1"/>
        <v>0</v>
      </c>
    </row>
    <row r="25" spans="1:11" x14ac:dyDescent="0.2">
      <c r="A25" s="29" t="s">
        <v>23</v>
      </c>
      <c r="B25" s="11"/>
      <c r="C25" s="11"/>
      <c r="D25" s="11"/>
      <c r="E25" s="169"/>
      <c r="F25" s="169"/>
      <c r="G25" s="169"/>
      <c r="H25" s="169"/>
      <c r="I25" s="169"/>
      <c r="J25" s="169"/>
      <c r="K25" s="14">
        <f t="shared" si="1"/>
        <v>0</v>
      </c>
    </row>
    <row r="26" spans="1:11" x14ac:dyDescent="0.2">
      <c r="A26" s="27" t="s">
        <v>24</v>
      </c>
      <c r="B26" s="11"/>
      <c r="C26" s="11"/>
      <c r="D26" s="11"/>
      <c r="E26" s="169"/>
      <c r="F26" s="169"/>
      <c r="G26" s="169"/>
      <c r="H26" s="169">
        <f>15000</f>
        <v>15000</v>
      </c>
      <c r="I26" s="169"/>
      <c r="J26" s="169"/>
      <c r="K26" s="14">
        <f t="shared" si="1"/>
        <v>15000</v>
      </c>
    </row>
    <row r="27" spans="1:11" x14ac:dyDescent="0.2">
      <c r="A27" s="28" t="s">
        <v>25</v>
      </c>
      <c r="B27" s="10">
        <v>24017</v>
      </c>
      <c r="C27" s="10">
        <v>0.9</v>
      </c>
      <c r="D27" s="10">
        <v>1</v>
      </c>
      <c r="E27" s="10">
        <f>SUM(E28:E33)</f>
        <v>0</v>
      </c>
      <c r="F27" s="10">
        <f t="shared" ref="F27:J27" si="5">SUM(F28:F33)</f>
        <v>450900</v>
      </c>
      <c r="G27" s="10">
        <f t="shared" si="5"/>
        <v>0</v>
      </c>
      <c r="H27" s="10">
        <f t="shared" si="5"/>
        <v>0</v>
      </c>
      <c r="I27" s="10">
        <f t="shared" si="5"/>
        <v>0</v>
      </c>
      <c r="J27" s="10">
        <f t="shared" si="5"/>
        <v>0</v>
      </c>
      <c r="K27" s="10">
        <f t="shared" si="1"/>
        <v>450900</v>
      </c>
    </row>
    <row r="28" spans="1:11" x14ac:dyDescent="0.2">
      <c r="A28" s="27" t="s">
        <v>26</v>
      </c>
      <c r="B28" s="11"/>
      <c r="C28" s="11"/>
      <c r="D28" s="11"/>
      <c r="E28" s="15"/>
      <c r="F28" s="16"/>
      <c r="G28" s="15"/>
      <c r="H28" s="17"/>
      <c r="I28" s="18"/>
      <c r="J28" s="19"/>
      <c r="K28" s="19">
        <f t="shared" si="1"/>
        <v>0</v>
      </c>
    </row>
    <row r="29" spans="1:11" x14ac:dyDescent="0.2">
      <c r="A29" s="27" t="s">
        <v>27</v>
      </c>
      <c r="B29" s="11"/>
      <c r="C29" s="11"/>
      <c r="D29" s="11"/>
      <c r="E29" s="16"/>
      <c r="F29" s="16"/>
      <c r="G29" s="15"/>
      <c r="H29" s="16"/>
      <c r="I29" s="19"/>
      <c r="J29" s="19"/>
      <c r="K29" s="19">
        <f t="shared" si="1"/>
        <v>0</v>
      </c>
    </row>
    <row r="30" spans="1:11" x14ac:dyDescent="0.2">
      <c r="A30" s="27" t="s">
        <v>28</v>
      </c>
      <c r="B30" s="11"/>
      <c r="C30" s="11"/>
      <c r="D30" s="11"/>
      <c r="F30" s="16"/>
      <c r="G30" s="15"/>
      <c r="H30" s="16"/>
      <c r="I30" s="19"/>
      <c r="J30" s="19"/>
      <c r="K30" s="19">
        <f>SUM(F30:J30)</f>
        <v>0</v>
      </c>
    </row>
    <row r="31" spans="1:11" x14ac:dyDescent="0.2">
      <c r="A31" s="27" t="s">
        <v>29</v>
      </c>
      <c r="B31" s="11"/>
      <c r="C31" s="11"/>
      <c r="D31" s="11"/>
      <c r="E31" s="16"/>
      <c r="F31" s="16"/>
      <c r="G31" s="15"/>
      <c r="H31" s="17"/>
      <c r="I31" s="18"/>
      <c r="J31" s="19"/>
      <c r="K31" s="19"/>
    </row>
    <row r="32" spans="1:11" x14ac:dyDescent="0.2">
      <c r="A32" s="30" t="s">
        <v>30</v>
      </c>
      <c r="B32" s="11"/>
      <c r="C32" s="11"/>
      <c r="D32" s="11"/>
      <c r="E32" s="16"/>
      <c r="F32" s="16">
        <f>450900</f>
        <v>450900</v>
      </c>
      <c r="G32" s="15"/>
      <c r="H32" s="18"/>
      <c r="I32" s="19"/>
      <c r="J32" s="19"/>
      <c r="K32" s="19"/>
    </row>
    <row r="33" spans="1:12" x14ac:dyDescent="0.2">
      <c r="A33" s="27" t="s">
        <v>31</v>
      </c>
      <c r="B33" s="11"/>
      <c r="C33" s="11"/>
      <c r="D33" s="11"/>
      <c r="E33" s="16"/>
      <c r="F33" s="16"/>
      <c r="G33" s="15"/>
      <c r="H33" s="17"/>
      <c r="I33" s="18"/>
      <c r="J33" s="19"/>
      <c r="K33" s="19">
        <f t="shared" si="1"/>
        <v>0</v>
      </c>
    </row>
    <row r="34" spans="1:12" x14ac:dyDescent="0.2">
      <c r="A34" s="28" t="s">
        <v>32</v>
      </c>
      <c r="B34" s="10"/>
      <c r="C34" s="10">
        <v>0</v>
      </c>
      <c r="D34" s="10">
        <v>14</v>
      </c>
      <c r="E34" s="10">
        <f>SUM(E35:E38)</f>
        <v>0</v>
      </c>
      <c r="F34" s="10">
        <f t="shared" ref="F34:J34" si="6">SUM(F35:F38)</f>
        <v>0</v>
      </c>
      <c r="G34" s="10">
        <f t="shared" si="6"/>
        <v>0</v>
      </c>
      <c r="H34" s="10">
        <f t="shared" si="6"/>
        <v>3982500</v>
      </c>
      <c r="I34" s="10">
        <f t="shared" si="6"/>
        <v>0</v>
      </c>
      <c r="J34" s="10">
        <f t="shared" si="6"/>
        <v>0</v>
      </c>
      <c r="K34" s="10">
        <f t="shared" si="1"/>
        <v>3982500</v>
      </c>
    </row>
    <row r="35" spans="1:12" x14ac:dyDescent="0.2">
      <c r="A35" s="27" t="s">
        <v>33</v>
      </c>
      <c r="B35" s="11"/>
      <c r="C35" s="11"/>
      <c r="D35" s="11"/>
      <c r="E35" s="16"/>
      <c r="F35" s="16"/>
      <c r="G35" s="15"/>
      <c r="H35" s="20"/>
      <c r="I35" s="18"/>
      <c r="J35" s="15"/>
      <c r="K35" s="15">
        <f t="shared" si="1"/>
        <v>0</v>
      </c>
    </row>
    <row r="36" spans="1:12" x14ac:dyDescent="0.2">
      <c r="A36" s="27" t="s">
        <v>34</v>
      </c>
      <c r="B36" s="11"/>
      <c r="C36" s="11"/>
      <c r="D36" s="11"/>
      <c r="E36" s="19"/>
      <c r="F36" s="19"/>
      <c r="G36" s="19"/>
      <c r="H36" s="19">
        <f>2124000+88500</f>
        <v>2212500</v>
      </c>
      <c r="J36" s="19"/>
      <c r="K36" s="19">
        <f t="shared" si="1"/>
        <v>2212500</v>
      </c>
    </row>
    <row r="37" spans="1:12" x14ac:dyDescent="0.2">
      <c r="A37" s="27" t="s">
        <v>35</v>
      </c>
      <c r="B37" s="11"/>
      <c r="C37" s="11"/>
      <c r="D37" s="11"/>
      <c r="E37" s="19"/>
      <c r="F37" s="19"/>
      <c r="G37" s="19"/>
      <c r="H37" s="19">
        <f>885000+885000</f>
        <v>1770000</v>
      </c>
      <c r="I37" s="19"/>
      <c r="J37" s="19"/>
      <c r="K37" s="19">
        <f t="shared" si="1"/>
        <v>1770000</v>
      </c>
    </row>
    <row r="38" spans="1:12" x14ac:dyDescent="0.2">
      <c r="A38" s="27" t="s">
        <v>36</v>
      </c>
      <c r="B38" s="11"/>
      <c r="C38" s="11"/>
      <c r="D38" s="11"/>
      <c r="E38" s="19"/>
      <c r="F38" s="16"/>
      <c r="G38" s="16"/>
      <c r="H38" s="16"/>
      <c r="I38" s="16"/>
      <c r="J38" s="16"/>
      <c r="K38" s="16">
        <f t="shared" si="1"/>
        <v>0</v>
      </c>
    </row>
    <row r="39" spans="1:12" x14ac:dyDescent="0.2">
      <c r="A39" s="28" t="s">
        <v>37</v>
      </c>
      <c r="B39" s="10"/>
      <c r="C39" s="10">
        <v>0</v>
      </c>
      <c r="D39" s="10"/>
      <c r="E39" s="10">
        <f>SUM(E40)</f>
        <v>0</v>
      </c>
      <c r="F39" s="10">
        <f t="shared" ref="F39:J39" si="7">SUM(F40)</f>
        <v>0</v>
      </c>
      <c r="G39" s="10">
        <f t="shared" si="7"/>
        <v>0</v>
      </c>
      <c r="H39" s="10">
        <f t="shared" si="7"/>
        <v>0</v>
      </c>
      <c r="I39" s="10">
        <f t="shared" si="7"/>
        <v>0</v>
      </c>
      <c r="J39" s="10">
        <f t="shared" si="7"/>
        <v>0</v>
      </c>
      <c r="K39" s="10">
        <f t="shared" si="1"/>
        <v>0</v>
      </c>
    </row>
    <row r="40" spans="1:12" x14ac:dyDescent="0.2">
      <c r="A40" s="27" t="s">
        <v>38</v>
      </c>
      <c r="B40" s="11"/>
      <c r="C40" s="11"/>
      <c r="D40" s="11"/>
      <c r="E40" s="16"/>
      <c r="F40" s="16"/>
      <c r="G40" s="15"/>
      <c r="H40" s="20"/>
      <c r="I40" s="20"/>
      <c r="J40" s="18"/>
      <c r="K40" s="18">
        <f t="shared" si="1"/>
        <v>0</v>
      </c>
    </row>
    <row r="41" spans="1:12" x14ac:dyDescent="0.2">
      <c r="A41" s="28" t="s">
        <v>39</v>
      </c>
      <c r="B41" s="10"/>
      <c r="C41" s="10"/>
      <c r="D41" s="10"/>
      <c r="E41" s="10">
        <f>SUM(E42)</f>
        <v>0</v>
      </c>
      <c r="F41" s="10">
        <f t="shared" ref="F41:J41" si="8">SUM(F42)</f>
        <v>0</v>
      </c>
      <c r="G41" s="10">
        <f t="shared" si="8"/>
        <v>0</v>
      </c>
      <c r="H41" s="10">
        <f t="shared" si="8"/>
        <v>2500000</v>
      </c>
      <c r="I41" s="10">
        <f t="shared" si="8"/>
        <v>0</v>
      </c>
      <c r="J41" s="10">
        <f t="shared" si="8"/>
        <v>0</v>
      </c>
      <c r="K41" s="10">
        <f t="shared" si="1"/>
        <v>2500000</v>
      </c>
    </row>
    <row r="42" spans="1:12" x14ac:dyDescent="0.2">
      <c r="A42" s="27" t="s">
        <v>40</v>
      </c>
      <c r="B42" s="11"/>
      <c r="C42" s="11"/>
      <c r="D42" s="11"/>
      <c r="E42" s="16"/>
      <c r="F42" s="16"/>
      <c r="G42" s="15"/>
      <c r="H42" s="18">
        <f>2500000</f>
        <v>2500000</v>
      </c>
      <c r="I42" s="20"/>
      <c r="J42" s="18"/>
      <c r="K42" s="18">
        <f t="shared" si="1"/>
        <v>2500000</v>
      </c>
    </row>
    <row r="43" spans="1:12" x14ac:dyDescent="0.2">
      <c r="A43" s="28" t="s">
        <v>41</v>
      </c>
      <c r="B43" s="10">
        <v>62341</v>
      </c>
      <c r="C43" s="10">
        <v>2.63</v>
      </c>
      <c r="D43" s="10">
        <v>11</v>
      </c>
      <c r="E43" s="10">
        <f>SUM(E44:E49)</f>
        <v>0</v>
      </c>
      <c r="F43" s="10">
        <f t="shared" ref="F43:J43" si="9">SUM(F44:F49)</f>
        <v>400020</v>
      </c>
      <c r="G43" s="10">
        <f t="shared" si="9"/>
        <v>0</v>
      </c>
      <c r="H43" s="10">
        <f t="shared" si="9"/>
        <v>0</v>
      </c>
      <c r="I43" s="10">
        <f t="shared" si="9"/>
        <v>0</v>
      </c>
      <c r="J43" s="10">
        <f t="shared" si="9"/>
        <v>0</v>
      </c>
      <c r="K43" s="10">
        <f t="shared" si="1"/>
        <v>400020</v>
      </c>
    </row>
    <row r="44" spans="1:12" x14ac:dyDescent="0.2">
      <c r="A44" s="30" t="s">
        <v>42</v>
      </c>
      <c r="B44" s="21"/>
      <c r="C44" s="21"/>
      <c r="D44" s="21"/>
      <c r="E44" s="19"/>
      <c r="F44" s="19"/>
      <c r="G44" s="19"/>
      <c r="H44" s="19"/>
      <c r="I44" s="19"/>
      <c r="J44" s="19"/>
      <c r="K44" s="19">
        <f t="shared" si="1"/>
        <v>0</v>
      </c>
      <c r="L44" s="2"/>
    </row>
    <row r="45" spans="1:12" x14ac:dyDescent="0.2">
      <c r="A45" s="30" t="s">
        <v>44</v>
      </c>
      <c r="B45" s="21"/>
      <c r="C45" s="21"/>
      <c r="D45" s="21"/>
      <c r="E45" s="22"/>
      <c r="F45" s="19"/>
      <c r="G45" s="19"/>
      <c r="H45" s="19"/>
      <c r="I45" s="19"/>
      <c r="J45" s="23"/>
      <c r="K45" s="23">
        <f t="shared" si="1"/>
        <v>0</v>
      </c>
    </row>
    <row r="46" spans="1:12" x14ac:dyDescent="0.2">
      <c r="A46" s="30" t="s">
        <v>46</v>
      </c>
      <c r="B46" s="21"/>
      <c r="C46" s="21"/>
      <c r="D46" s="21"/>
      <c r="E46" s="19"/>
      <c r="F46" s="19">
        <f>400020</f>
        <v>400020</v>
      </c>
      <c r="G46" s="19"/>
      <c r="H46" s="19"/>
      <c r="I46" s="19"/>
      <c r="J46" s="19"/>
      <c r="K46" s="19">
        <f t="shared" si="1"/>
        <v>400020</v>
      </c>
    </row>
    <row r="47" spans="1:12" x14ac:dyDescent="0.2">
      <c r="A47" s="30" t="s">
        <v>48</v>
      </c>
      <c r="B47" s="21"/>
      <c r="C47" s="21"/>
      <c r="D47" s="21"/>
      <c r="E47" s="19"/>
      <c r="F47" s="19"/>
      <c r="G47" s="170"/>
      <c r="H47" s="19"/>
      <c r="I47" s="19"/>
      <c r="J47" s="19"/>
      <c r="K47" s="19">
        <f t="shared" si="1"/>
        <v>0</v>
      </c>
    </row>
    <row r="48" spans="1:12" x14ac:dyDescent="0.2">
      <c r="A48" s="30" t="s">
        <v>50</v>
      </c>
      <c r="B48" s="21"/>
      <c r="C48" s="21"/>
      <c r="D48" s="21"/>
      <c r="E48" s="19"/>
      <c r="F48" s="19"/>
      <c r="G48" s="19"/>
      <c r="H48" s="19"/>
      <c r="I48" s="19"/>
      <c r="J48" s="19"/>
      <c r="K48" s="19">
        <f t="shared" si="1"/>
        <v>0</v>
      </c>
    </row>
    <row r="49" spans="1:11" x14ac:dyDescent="0.2">
      <c r="A49" s="30" t="s">
        <v>52</v>
      </c>
      <c r="B49" s="21"/>
      <c r="C49" s="21"/>
      <c r="D49" s="21"/>
      <c r="E49" s="19"/>
      <c r="F49" s="19"/>
      <c r="G49" s="19"/>
      <c r="H49" s="19"/>
      <c r="I49" s="19"/>
      <c r="J49" s="19"/>
      <c r="K49" s="19">
        <f t="shared" si="1"/>
        <v>0</v>
      </c>
    </row>
    <row r="50" spans="1:11" x14ac:dyDescent="0.2">
      <c r="A50" s="28" t="s">
        <v>43</v>
      </c>
      <c r="B50" s="10"/>
      <c r="C50" s="10"/>
      <c r="D50" s="10"/>
      <c r="E50" s="10">
        <f>SUM(E51:E54)</f>
        <v>0</v>
      </c>
      <c r="F50" s="10">
        <f t="shared" ref="F50:I50" si="10">SUM(F51:F54)</f>
        <v>241462</v>
      </c>
      <c r="G50" s="10">
        <f t="shared" si="10"/>
        <v>0</v>
      </c>
      <c r="H50" s="10">
        <f t="shared" si="10"/>
        <v>0</v>
      </c>
      <c r="I50" s="10">
        <f t="shared" si="10"/>
        <v>0</v>
      </c>
      <c r="J50" s="10">
        <f>SUM(J51:J54)</f>
        <v>0</v>
      </c>
      <c r="K50" s="10">
        <f t="shared" si="1"/>
        <v>241462</v>
      </c>
    </row>
    <row r="51" spans="1:11" x14ac:dyDescent="0.2">
      <c r="A51" s="30" t="s">
        <v>47</v>
      </c>
      <c r="B51" s="21"/>
      <c r="C51" s="21"/>
      <c r="D51" s="21"/>
      <c r="E51" s="19"/>
      <c r="F51" s="19"/>
      <c r="G51" s="19"/>
      <c r="H51" s="19"/>
      <c r="I51" s="19"/>
      <c r="J51" s="19"/>
      <c r="K51" s="19">
        <f t="shared" si="1"/>
        <v>0</v>
      </c>
    </row>
    <row r="52" spans="1:11" x14ac:dyDescent="0.2">
      <c r="A52" s="30" t="s">
        <v>45</v>
      </c>
      <c r="B52" s="21"/>
      <c r="C52" s="21"/>
      <c r="D52" s="21"/>
      <c r="E52" s="19"/>
      <c r="F52" s="19">
        <f>241462</f>
        <v>241462</v>
      </c>
      <c r="G52" s="19"/>
      <c r="H52" s="19"/>
      <c r="I52" s="20"/>
      <c r="J52" s="19"/>
      <c r="K52" s="19">
        <f t="shared" si="1"/>
        <v>241462</v>
      </c>
    </row>
    <row r="53" spans="1:11" x14ac:dyDescent="0.2">
      <c r="A53" s="30" t="s">
        <v>49</v>
      </c>
      <c r="B53" s="21"/>
      <c r="C53" s="21"/>
      <c r="D53" s="21"/>
      <c r="E53" s="19"/>
      <c r="F53" s="19"/>
      <c r="H53" s="19"/>
      <c r="I53" s="20"/>
      <c r="J53" s="19"/>
      <c r="K53" s="19">
        <f t="shared" si="1"/>
        <v>0</v>
      </c>
    </row>
    <row r="54" spans="1:11" x14ac:dyDescent="0.2">
      <c r="A54" s="30" t="s">
        <v>51</v>
      </c>
      <c r="B54" s="21"/>
      <c r="C54" s="21"/>
      <c r="D54" s="21"/>
      <c r="E54" s="19"/>
      <c r="F54" s="19"/>
      <c r="G54" s="19"/>
      <c r="H54" s="19"/>
      <c r="I54" s="20"/>
      <c r="J54" s="19"/>
      <c r="K54" s="19">
        <f t="shared" si="1"/>
        <v>0</v>
      </c>
    </row>
    <row r="55" spans="1:11" s="2" customFormat="1" ht="15" x14ac:dyDescent="0.2">
      <c r="A55" s="28" t="s">
        <v>53</v>
      </c>
      <c r="B55" s="11"/>
      <c r="C55" s="11"/>
      <c r="D55" s="11"/>
      <c r="E55" s="10">
        <f>SUM(E56:E67)</f>
        <v>0</v>
      </c>
      <c r="F55" s="10">
        <f t="shared" ref="F55:J55" si="11">SUM(F56:F67)</f>
        <v>0</v>
      </c>
      <c r="G55" s="10">
        <f t="shared" si="11"/>
        <v>0</v>
      </c>
      <c r="H55" s="10">
        <f t="shared" si="11"/>
        <v>0</v>
      </c>
      <c r="I55" s="10">
        <f t="shared" si="11"/>
        <v>0</v>
      </c>
      <c r="J55" s="10">
        <f t="shared" si="11"/>
        <v>0</v>
      </c>
      <c r="K55" s="10">
        <f t="shared" si="1"/>
        <v>0</v>
      </c>
    </row>
    <row r="56" spans="1:11" x14ac:dyDescent="0.2">
      <c r="A56" s="27" t="s">
        <v>54</v>
      </c>
      <c r="B56" s="11"/>
      <c r="C56" s="11"/>
      <c r="D56" s="11"/>
      <c r="E56" s="18"/>
      <c r="F56" s="18"/>
      <c r="G56" s="18"/>
      <c r="H56" s="18"/>
      <c r="I56" s="18"/>
      <c r="J56" s="18"/>
      <c r="K56" s="18">
        <f t="shared" si="1"/>
        <v>0</v>
      </c>
    </row>
    <row r="57" spans="1:11" x14ac:dyDescent="0.2">
      <c r="A57" s="27" t="s">
        <v>55</v>
      </c>
      <c r="B57" s="11"/>
      <c r="C57" s="11"/>
      <c r="D57" s="11"/>
      <c r="E57" s="18"/>
      <c r="F57" s="18"/>
      <c r="G57" s="18"/>
      <c r="H57" s="18"/>
      <c r="I57" s="18"/>
      <c r="J57" s="18"/>
      <c r="K57" s="18">
        <f t="shared" si="1"/>
        <v>0</v>
      </c>
    </row>
    <row r="58" spans="1:11" x14ac:dyDescent="0.2">
      <c r="A58" s="27" t="s">
        <v>56</v>
      </c>
      <c r="B58" s="11"/>
      <c r="C58" s="11"/>
      <c r="D58" s="11"/>
      <c r="E58" s="18"/>
      <c r="F58" s="18"/>
      <c r="G58" s="18"/>
      <c r="H58" s="18"/>
      <c r="I58" s="18"/>
      <c r="J58" s="18"/>
      <c r="K58" s="18">
        <f t="shared" si="1"/>
        <v>0</v>
      </c>
    </row>
    <row r="59" spans="1:11" x14ac:dyDescent="0.2">
      <c r="A59" s="27" t="s">
        <v>57</v>
      </c>
      <c r="B59" s="11"/>
      <c r="C59" s="11"/>
      <c r="D59" s="11"/>
      <c r="E59" s="18"/>
      <c r="F59" s="18"/>
      <c r="G59" s="18"/>
      <c r="H59" s="18"/>
      <c r="I59" s="18"/>
      <c r="J59" s="18"/>
      <c r="K59" s="18">
        <f t="shared" si="1"/>
        <v>0</v>
      </c>
    </row>
    <row r="60" spans="1:11" x14ac:dyDescent="0.2">
      <c r="A60" s="27" t="s">
        <v>58</v>
      </c>
      <c r="B60" s="11"/>
      <c r="C60" s="11"/>
      <c r="D60" s="11"/>
      <c r="E60" s="18"/>
      <c r="F60" s="18"/>
      <c r="G60" s="18"/>
      <c r="H60" s="18"/>
      <c r="I60" s="18"/>
      <c r="J60" s="18"/>
      <c r="K60" s="18">
        <f t="shared" si="1"/>
        <v>0</v>
      </c>
    </row>
    <row r="61" spans="1:11" x14ac:dyDescent="0.2">
      <c r="A61" s="27" t="s">
        <v>59</v>
      </c>
      <c r="B61" s="11"/>
      <c r="C61" s="11"/>
      <c r="D61" s="11"/>
      <c r="E61" s="16"/>
      <c r="F61" s="16"/>
      <c r="G61" s="15"/>
      <c r="H61" s="18"/>
      <c r="I61" s="18"/>
      <c r="J61" s="18"/>
      <c r="K61" s="18">
        <f t="shared" si="1"/>
        <v>0</v>
      </c>
    </row>
    <row r="62" spans="1:11" x14ac:dyDescent="0.2">
      <c r="A62" s="27" t="s">
        <v>60</v>
      </c>
      <c r="B62" s="11"/>
      <c r="C62" s="11"/>
      <c r="D62" s="11"/>
      <c r="E62" s="16"/>
      <c r="F62" s="16"/>
      <c r="G62" s="15"/>
      <c r="H62" s="18"/>
      <c r="I62" s="18"/>
      <c r="J62" s="18"/>
      <c r="K62" s="18">
        <f t="shared" si="1"/>
        <v>0</v>
      </c>
    </row>
    <row r="63" spans="1:11" x14ac:dyDescent="0.2">
      <c r="A63" s="27" t="s">
        <v>61</v>
      </c>
      <c r="B63" s="11"/>
      <c r="C63" s="11"/>
      <c r="D63" s="11"/>
      <c r="E63" s="18"/>
      <c r="F63" s="18"/>
      <c r="G63" s="18"/>
      <c r="H63" s="18"/>
      <c r="I63" s="18"/>
      <c r="J63" s="18"/>
      <c r="K63" s="18">
        <f t="shared" si="1"/>
        <v>0</v>
      </c>
    </row>
    <row r="64" spans="1:11" x14ac:dyDescent="0.2">
      <c r="A64" s="27" t="s">
        <v>62</v>
      </c>
      <c r="B64" s="11"/>
      <c r="C64" s="11"/>
      <c r="D64" s="11"/>
      <c r="E64" s="16"/>
      <c r="F64" s="16"/>
      <c r="G64" s="16"/>
      <c r="H64" s="23"/>
      <c r="I64" s="18"/>
      <c r="J64" s="18"/>
      <c r="K64" s="18">
        <f t="shared" si="1"/>
        <v>0</v>
      </c>
    </row>
    <row r="65" spans="1:11" x14ac:dyDescent="0.2">
      <c r="A65" s="27" t="s">
        <v>63</v>
      </c>
      <c r="B65" s="11"/>
      <c r="C65" s="11"/>
      <c r="D65" s="11"/>
      <c r="E65" s="16"/>
      <c r="F65" s="16"/>
      <c r="G65" s="15"/>
      <c r="H65" s="18"/>
      <c r="I65" s="18"/>
      <c r="J65" s="18"/>
      <c r="K65" s="18">
        <f t="shared" si="1"/>
        <v>0</v>
      </c>
    </row>
    <row r="66" spans="1:11" x14ac:dyDescent="0.2">
      <c r="A66" s="27" t="s">
        <v>64</v>
      </c>
      <c r="B66" s="11"/>
      <c r="C66" s="11"/>
      <c r="D66" s="11"/>
      <c r="E66" s="16"/>
      <c r="F66" s="16"/>
      <c r="G66" s="16"/>
      <c r="H66" s="16"/>
      <c r="I66" s="18"/>
      <c r="J66" s="18"/>
      <c r="K66" s="18">
        <f t="shared" si="1"/>
        <v>0</v>
      </c>
    </row>
    <row r="67" spans="1:11" x14ac:dyDescent="0.2">
      <c r="A67" s="27" t="s">
        <v>65</v>
      </c>
      <c r="B67" s="11"/>
      <c r="C67" s="11"/>
      <c r="D67" s="11"/>
      <c r="E67" s="16"/>
      <c r="F67" s="16"/>
      <c r="G67" s="16"/>
      <c r="H67" s="18"/>
      <c r="I67" s="18"/>
      <c r="J67" s="18"/>
      <c r="K67" s="18">
        <f t="shared" si="1"/>
        <v>0</v>
      </c>
    </row>
    <row r="68" spans="1:11" x14ac:dyDescent="0.2">
      <c r="A68" s="31" t="s">
        <v>66</v>
      </c>
      <c r="B68" s="10"/>
      <c r="C68" s="10"/>
      <c r="D68" s="10"/>
      <c r="E68" s="10">
        <f>SUM(E69:E85)</f>
        <v>0</v>
      </c>
      <c r="F68" s="10">
        <f t="shared" ref="F68:J68" si="12">SUM(F69:F85)</f>
        <v>0</v>
      </c>
      <c r="G68" s="10">
        <f t="shared" si="12"/>
        <v>0</v>
      </c>
      <c r="H68" s="10">
        <f t="shared" si="12"/>
        <v>0</v>
      </c>
      <c r="I68" s="10">
        <f t="shared" si="12"/>
        <v>0</v>
      </c>
      <c r="J68" s="10">
        <f t="shared" si="12"/>
        <v>0</v>
      </c>
      <c r="K68" s="10">
        <f t="shared" ref="K68:K98" si="13">SUM(E68:J68)</f>
        <v>0</v>
      </c>
    </row>
    <row r="69" spans="1:11" x14ac:dyDescent="0.2">
      <c r="A69" s="29" t="s">
        <v>67</v>
      </c>
      <c r="B69" s="21"/>
      <c r="C69" s="21"/>
      <c r="D69" s="21"/>
      <c r="E69" s="19"/>
      <c r="F69" s="19"/>
      <c r="G69" s="19"/>
      <c r="H69" s="19"/>
      <c r="I69" s="19"/>
      <c r="J69" s="19"/>
      <c r="K69" s="19">
        <f t="shared" si="13"/>
        <v>0</v>
      </c>
    </row>
    <row r="70" spans="1:11" x14ac:dyDescent="0.2">
      <c r="A70" s="29" t="s">
        <v>68</v>
      </c>
      <c r="B70" s="21"/>
      <c r="C70" s="21"/>
      <c r="D70" s="21"/>
      <c r="E70" s="19"/>
      <c r="F70" s="19"/>
      <c r="G70" s="19"/>
      <c r="H70" s="19"/>
      <c r="I70" s="19"/>
      <c r="J70" s="19"/>
      <c r="K70" s="19">
        <f t="shared" si="13"/>
        <v>0</v>
      </c>
    </row>
    <row r="71" spans="1:11" x14ac:dyDescent="0.2">
      <c r="A71" s="29" t="s">
        <v>69</v>
      </c>
      <c r="B71" s="21"/>
      <c r="C71" s="21"/>
      <c r="D71" s="21"/>
      <c r="E71" s="19"/>
      <c r="F71" s="19"/>
      <c r="G71" s="19"/>
      <c r="H71" s="19"/>
      <c r="I71" s="19"/>
      <c r="J71" s="19"/>
      <c r="K71" s="19">
        <f t="shared" si="13"/>
        <v>0</v>
      </c>
    </row>
    <row r="72" spans="1:11" x14ac:dyDescent="0.2">
      <c r="A72" s="29" t="s">
        <v>70</v>
      </c>
      <c r="B72" s="21"/>
      <c r="C72" s="21"/>
      <c r="D72" s="21"/>
      <c r="E72" s="19"/>
      <c r="F72" s="19"/>
      <c r="G72" s="19"/>
      <c r="H72" s="19"/>
      <c r="I72" s="19"/>
      <c r="J72" s="19"/>
      <c r="K72" s="19">
        <f t="shared" si="13"/>
        <v>0</v>
      </c>
    </row>
    <row r="73" spans="1:11" x14ac:dyDescent="0.2">
      <c r="A73" s="29" t="s">
        <v>71</v>
      </c>
      <c r="B73" s="21"/>
      <c r="C73" s="21"/>
      <c r="D73" s="21"/>
      <c r="E73" s="19"/>
      <c r="F73" s="19"/>
      <c r="G73" s="19"/>
      <c r="H73" s="19"/>
      <c r="I73" s="19"/>
      <c r="J73" s="19"/>
      <c r="K73" s="19">
        <f t="shared" si="13"/>
        <v>0</v>
      </c>
    </row>
    <row r="74" spans="1:11" x14ac:dyDescent="0.2">
      <c r="A74" s="29" t="s">
        <v>72</v>
      </c>
      <c r="B74" s="21"/>
      <c r="C74" s="21"/>
      <c r="D74" s="21"/>
      <c r="E74" s="19"/>
      <c r="F74" s="19"/>
      <c r="G74" s="19"/>
      <c r="H74" s="19"/>
      <c r="I74" s="19"/>
      <c r="J74" s="19"/>
      <c r="K74" s="19">
        <f t="shared" si="13"/>
        <v>0</v>
      </c>
    </row>
    <row r="75" spans="1:11" x14ac:dyDescent="0.2">
      <c r="A75" s="29" t="s">
        <v>73</v>
      </c>
      <c r="B75" s="21"/>
      <c r="C75" s="21"/>
      <c r="D75" s="21"/>
      <c r="E75" s="19"/>
      <c r="F75" s="19"/>
      <c r="G75" s="19"/>
      <c r="H75" s="19"/>
      <c r="I75" s="19"/>
      <c r="J75" s="19"/>
      <c r="K75" s="19">
        <f t="shared" si="13"/>
        <v>0</v>
      </c>
    </row>
    <row r="76" spans="1:11" x14ac:dyDescent="0.2">
      <c r="A76" s="29" t="s">
        <v>74</v>
      </c>
      <c r="B76" s="21"/>
      <c r="C76" s="21"/>
      <c r="D76" s="21"/>
      <c r="E76" s="19"/>
      <c r="F76" s="19"/>
      <c r="G76" s="19"/>
      <c r="H76" s="19"/>
      <c r="I76" s="19"/>
      <c r="J76" s="19"/>
      <c r="K76" s="19">
        <f t="shared" si="13"/>
        <v>0</v>
      </c>
    </row>
    <row r="77" spans="1:11" x14ac:dyDescent="0.2">
      <c r="A77" s="29" t="s">
        <v>75</v>
      </c>
      <c r="B77" s="21"/>
      <c r="C77" s="21"/>
      <c r="D77" s="21"/>
      <c r="E77" s="19"/>
      <c r="F77" s="19"/>
      <c r="G77" s="19"/>
      <c r="H77" s="19"/>
      <c r="I77" s="24"/>
      <c r="J77" s="19"/>
      <c r="K77" s="19">
        <f t="shared" si="13"/>
        <v>0</v>
      </c>
    </row>
    <row r="78" spans="1:11" x14ac:dyDescent="0.2">
      <c r="A78" s="29" t="s">
        <v>76</v>
      </c>
      <c r="B78" s="21"/>
      <c r="C78" s="21"/>
      <c r="D78" s="21"/>
      <c r="E78" s="19"/>
      <c r="F78" s="19"/>
      <c r="G78" s="19"/>
      <c r="H78" s="19"/>
      <c r="I78" s="19"/>
      <c r="J78" s="19"/>
      <c r="K78" s="19">
        <f t="shared" si="13"/>
        <v>0</v>
      </c>
    </row>
    <row r="79" spans="1:11" x14ac:dyDescent="0.2">
      <c r="A79" s="29" t="s">
        <v>62</v>
      </c>
      <c r="B79" s="21"/>
      <c r="C79" s="21"/>
      <c r="D79" s="21"/>
      <c r="E79" s="19"/>
      <c r="F79" s="19"/>
      <c r="G79" s="19"/>
      <c r="H79" s="19"/>
      <c r="I79" s="19"/>
      <c r="J79" s="19"/>
      <c r="K79" s="19">
        <f t="shared" si="13"/>
        <v>0</v>
      </c>
    </row>
    <row r="80" spans="1:11" x14ac:dyDescent="0.2">
      <c r="A80" s="29" t="s">
        <v>77</v>
      </c>
      <c r="B80" s="21"/>
      <c r="C80" s="21"/>
      <c r="D80" s="21"/>
      <c r="E80" s="19"/>
      <c r="F80" s="19"/>
      <c r="G80" s="19"/>
      <c r="H80" s="19"/>
      <c r="I80" s="19"/>
      <c r="J80" s="19"/>
      <c r="K80" s="19">
        <f t="shared" si="13"/>
        <v>0</v>
      </c>
    </row>
    <row r="81" spans="1:11" x14ac:dyDescent="0.2">
      <c r="A81" s="29" t="s">
        <v>78</v>
      </c>
      <c r="B81" s="21"/>
      <c r="C81" s="21"/>
      <c r="D81" s="21"/>
      <c r="E81" s="19"/>
      <c r="F81" s="19"/>
      <c r="G81" s="19"/>
      <c r="H81" s="19"/>
      <c r="I81" s="19"/>
      <c r="J81" s="19"/>
      <c r="K81" s="19">
        <f t="shared" si="13"/>
        <v>0</v>
      </c>
    </row>
    <row r="82" spans="1:11" x14ac:dyDescent="0.2">
      <c r="A82" s="29" t="s">
        <v>79</v>
      </c>
      <c r="B82" s="21"/>
      <c r="C82" s="21"/>
      <c r="D82" s="21"/>
      <c r="E82" s="19"/>
      <c r="F82" s="19"/>
      <c r="G82" s="19"/>
      <c r="H82" s="19"/>
      <c r="I82" s="19"/>
      <c r="J82" s="19"/>
      <c r="K82" s="19">
        <f t="shared" si="13"/>
        <v>0</v>
      </c>
    </row>
    <row r="83" spans="1:11" x14ac:dyDescent="0.2">
      <c r="A83" s="29" t="s">
        <v>80</v>
      </c>
      <c r="B83" s="21"/>
      <c r="C83" s="21"/>
      <c r="D83" s="21"/>
      <c r="E83" s="19"/>
      <c r="F83" s="19"/>
      <c r="G83" s="19"/>
      <c r="H83" s="19"/>
      <c r="I83" s="19"/>
      <c r="J83" s="19"/>
      <c r="K83" s="19">
        <f t="shared" si="13"/>
        <v>0</v>
      </c>
    </row>
    <row r="84" spans="1:11" x14ac:dyDescent="0.2">
      <c r="A84" s="29" t="s">
        <v>81</v>
      </c>
      <c r="B84" s="21"/>
      <c r="C84" s="21"/>
      <c r="D84" s="21"/>
      <c r="E84" s="19"/>
      <c r="F84" s="19"/>
      <c r="G84" s="19"/>
      <c r="H84" s="19"/>
      <c r="I84" s="19"/>
      <c r="J84" s="19"/>
      <c r="K84" s="19">
        <f t="shared" si="13"/>
        <v>0</v>
      </c>
    </row>
    <row r="85" spans="1:11" x14ac:dyDescent="0.2">
      <c r="A85" s="29" t="s">
        <v>82</v>
      </c>
      <c r="B85" s="21"/>
      <c r="C85" s="21"/>
      <c r="D85" s="21"/>
      <c r="E85" s="19"/>
      <c r="F85" s="19"/>
      <c r="G85" s="19"/>
      <c r="H85" s="19"/>
      <c r="I85" s="19"/>
      <c r="J85" s="19"/>
      <c r="K85" s="19">
        <f t="shared" si="13"/>
        <v>0</v>
      </c>
    </row>
    <row r="86" spans="1:11" x14ac:dyDescent="0.2">
      <c r="A86" s="28" t="s">
        <v>83</v>
      </c>
      <c r="B86" s="10"/>
      <c r="C86" s="10"/>
      <c r="D86" s="10"/>
      <c r="E86" s="10">
        <f>SUM(E87)</f>
        <v>0</v>
      </c>
      <c r="F86" s="10">
        <f t="shared" ref="F86:J86" si="14">SUM(F87)</f>
        <v>0</v>
      </c>
      <c r="G86" s="10">
        <f t="shared" si="14"/>
        <v>0</v>
      </c>
      <c r="H86" s="10">
        <f t="shared" si="14"/>
        <v>7257000</v>
      </c>
      <c r="I86" s="10">
        <f t="shared" si="14"/>
        <v>0</v>
      </c>
      <c r="J86" s="10">
        <f t="shared" si="14"/>
        <v>0</v>
      </c>
      <c r="K86" s="10">
        <f t="shared" si="13"/>
        <v>7257000</v>
      </c>
    </row>
    <row r="87" spans="1:11" x14ac:dyDescent="0.2">
      <c r="A87" s="29" t="s">
        <v>84</v>
      </c>
      <c r="B87" s="21"/>
      <c r="C87" s="21"/>
      <c r="D87" s="21"/>
      <c r="E87" s="19"/>
      <c r="F87" s="19"/>
      <c r="G87" s="20"/>
      <c r="H87" s="19">
        <f>7257000</f>
        <v>7257000</v>
      </c>
      <c r="I87" s="19"/>
      <c r="J87" s="19"/>
      <c r="K87" s="19">
        <f t="shared" si="13"/>
        <v>7257000</v>
      </c>
    </row>
    <row r="88" spans="1:11" x14ac:dyDescent="0.2">
      <c r="A88" s="31" t="s">
        <v>85</v>
      </c>
      <c r="B88" s="10"/>
      <c r="C88" s="10"/>
      <c r="D88" s="10"/>
      <c r="E88" s="10">
        <f>SUM(E89:E90)</f>
        <v>0</v>
      </c>
      <c r="F88" s="10">
        <f t="shared" ref="F88:J88" si="15">SUM(F89:F90)</f>
        <v>379963</v>
      </c>
      <c r="G88" s="10">
        <f t="shared" si="15"/>
        <v>0</v>
      </c>
      <c r="H88" s="10">
        <f t="shared" si="15"/>
        <v>71744</v>
      </c>
      <c r="I88" s="10">
        <f t="shared" si="15"/>
        <v>0</v>
      </c>
      <c r="J88" s="10">
        <f t="shared" si="15"/>
        <v>0</v>
      </c>
      <c r="K88" s="10">
        <f t="shared" si="13"/>
        <v>451707</v>
      </c>
    </row>
    <row r="89" spans="1:11" x14ac:dyDescent="0.2">
      <c r="A89" s="29" t="s">
        <v>86</v>
      </c>
      <c r="B89" s="21"/>
      <c r="C89" s="21"/>
      <c r="D89" s="21"/>
      <c r="E89" s="19"/>
      <c r="F89" s="19">
        <f>236000+14160</f>
        <v>250160</v>
      </c>
      <c r="G89" s="19"/>
      <c r="H89" s="19">
        <f>5428+4838+61478</f>
        <v>71744</v>
      </c>
      <c r="I89" s="19"/>
      <c r="J89" s="19"/>
      <c r="K89" s="19">
        <f t="shared" si="13"/>
        <v>321904</v>
      </c>
    </row>
    <row r="90" spans="1:11" x14ac:dyDescent="0.2">
      <c r="A90" s="29" t="s">
        <v>87</v>
      </c>
      <c r="B90" s="21"/>
      <c r="C90" s="21"/>
      <c r="D90" s="21"/>
      <c r="E90" s="19"/>
      <c r="F90" s="19">
        <f>68000+41202+20601</f>
        <v>129803</v>
      </c>
      <c r="G90" s="19"/>
      <c r="H90" s="20"/>
      <c r="I90" s="17"/>
      <c r="J90" s="19"/>
      <c r="K90" s="19">
        <f t="shared" si="13"/>
        <v>129803</v>
      </c>
    </row>
    <row r="91" spans="1:11" x14ac:dyDescent="0.2">
      <c r="A91" s="28" t="s">
        <v>88</v>
      </c>
      <c r="B91" s="10">
        <v>875767</v>
      </c>
      <c r="C91" s="10">
        <v>35.799999999999997</v>
      </c>
      <c r="D91" s="10">
        <v>20</v>
      </c>
      <c r="E91" s="10">
        <f>SUM(E92:E98)</f>
        <v>0</v>
      </c>
      <c r="F91" s="10">
        <f t="shared" ref="F91:H91" si="16">SUM(F92:F98)</f>
        <v>3328205</v>
      </c>
      <c r="G91" s="10">
        <f t="shared" si="16"/>
        <v>0</v>
      </c>
      <c r="H91" s="10">
        <f t="shared" si="16"/>
        <v>1004408</v>
      </c>
      <c r="I91" s="10">
        <f>SUM(I92:I98)</f>
        <v>0</v>
      </c>
      <c r="J91" s="10">
        <f>SUM(J92:J98)</f>
        <v>0</v>
      </c>
      <c r="K91" s="10">
        <f t="shared" si="13"/>
        <v>4332613</v>
      </c>
    </row>
    <row r="92" spans="1:11" x14ac:dyDescent="0.2">
      <c r="A92" s="27" t="s">
        <v>89</v>
      </c>
      <c r="B92" s="11"/>
      <c r="C92" s="11"/>
      <c r="D92" s="11"/>
      <c r="E92" s="25"/>
      <c r="F92" s="25">
        <f>480260+3568+8541+8541+7605+6435+7605</f>
        <v>522555</v>
      </c>
      <c r="G92" s="25"/>
      <c r="H92" s="25">
        <f>7434+7434</f>
        <v>14868</v>
      </c>
      <c r="I92" s="20"/>
      <c r="J92" s="25"/>
      <c r="K92" s="25">
        <f t="shared" si="13"/>
        <v>537423</v>
      </c>
    </row>
    <row r="93" spans="1:11" x14ac:dyDescent="0.2">
      <c r="A93" s="27" t="s">
        <v>90</v>
      </c>
      <c r="B93" s="11"/>
      <c r="C93" s="11"/>
      <c r="D93" s="11"/>
      <c r="E93" s="25"/>
      <c r="F93" s="25"/>
      <c r="G93" s="170"/>
      <c r="H93" s="25"/>
      <c r="I93" s="20"/>
      <c r="J93" s="25"/>
      <c r="K93" s="25">
        <f t="shared" si="13"/>
        <v>0</v>
      </c>
    </row>
    <row r="94" spans="1:11" x14ac:dyDescent="0.2">
      <c r="A94" s="27" t="s">
        <v>91</v>
      </c>
      <c r="B94" s="11"/>
      <c r="C94" s="11"/>
      <c r="D94" s="11"/>
      <c r="E94" s="25"/>
      <c r="F94" s="25">
        <f>183750+183750+183750+183750+183750+183750+162750+309750+267750+183750+183750+250950+267750</f>
        <v>2728950</v>
      </c>
      <c r="G94" s="25"/>
      <c r="H94" s="25">
        <f>183750+183750+183750+1368+20+432+372750</f>
        <v>925820</v>
      </c>
      <c r="I94" s="20"/>
      <c r="J94" s="25"/>
      <c r="K94" s="25">
        <f t="shared" si="13"/>
        <v>3654770</v>
      </c>
    </row>
    <row r="95" spans="1:11" x14ac:dyDescent="0.2">
      <c r="A95" s="30" t="s">
        <v>92</v>
      </c>
      <c r="B95" s="21"/>
      <c r="C95" s="21"/>
      <c r="D95" s="21"/>
      <c r="E95" s="25"/>
      <c r="F95" s="25"/>
      <c r="G95" s="25"/>
      <c r="H95" s="25"/>
      <c r="I95" s="20"/>
      <c r="J95" s="25"/>
      <c r="K95" s="25">
        <f t="shared" si="13"/>
        <v>0</v>
      </c>
    </row>
    <row r="96" spans="1:11" x14ac:dyDescent="0.2">
      <c r="A96" s="30" t="s">
        <v>93</v>
      </c>
      <c r="B96" s="21"/>
      <c r="C96" s="21"/>
      <c r="D96" s="21"/>
      <c r="E96" s="25"/>
      <c r="F96" s="25"/>
      <c r="G96" s="25"/>
      <c r="H96" s="25"/>
      <c r="I96" s="20"/>
      <c r="J96" s="25"/>
      <c r="K96" s="25">
        <f t="shared" si="13"/>
        <v>0</v>
      </c>
    </row>
    <row r="97" spans="1:12" x14ac:dyDescent="0.2">
      <c r="A97" s="30" t="s">
        <v>94</v>
      </c>
      <c r="B97" s="21"/>
      <c r="C97" s="21"/>
      <c r="D97" s="21"/>
      <c r="E97" s="23"/>
      <c r="F97" s="23">
        <f>17995+17995+17995+17995+4720</f>
        <v>76700</v>
      </c>
      <c r="G97" s="23"/>
      <c r="H97" s="23">
        <f>63720</f>
        <v>63720</v>
      </c>
      <c r="I97" s="20"/>
      <c r="J97" s="23"/>
      <c r="K97" s="23">
        <f t="shared" si="13"/>
        <v>140420</v>
      </c>
    </row>
    <row r="98" spans="1:12" x14ac:dyDescent="0.2">
      <c r="A98" s="30" t="s">
        <v>95</v>
      </c>
      <c r="B98" s="21"/>
      <c r="C98" s="21"/>
      <c r="D98" s="21"/>
      <c r="E98" s="23"/>
      <c r="F98" s="23"/>
      <c r="G98" s="23"/>
      <c r="I98" s="23"/>
      <c r="J98" s="23"/>
      <c r="K98" s="23">
        <f t="shared" si="13"/>
        <v>0</v>
      </c>
    </row>
    <row r="99" spans="1:12" ht="14.25" customHeight="1" thickBot="1" x14ac:dyDescent="0.25">
      <c r="A99" s="32" t="s">
        <v>96</v>
      </c>
      <c r="B99" s="33"/>
      <c r="C99" s="33"/>
      <c r="D99" s="33"/>
      <c r="E99" s="34">
        <f>SUM(E91,E88,E86,E68,E55,E50,E43,E41,E39,E34,E27,E17,E15,E8,E4)</f>
        <v>1032500</v>
      </c>
      <c r="F99" s="34">
        <f t="shared" ref="F99:J99" si="17">SUM(F91,F88,F86,F68,F55,F50,F43,F41,F39,F34,F27,F17,F15,F8,F4)</f>
        <v>4800550</v>
      </c>
      <c r="G99" s="34">
        <f t="shared" si="17"/>
        <v>0</v>
      </c>
      <c r="H99" s="34">
        <f t="shared" si="17"/>
        <v>14830652</v>
      </c>
      <c r="I99" s="34">
        <f t="shared" si="17"/>
        <v>0</v>
      </c>
      <c r="J99" s="34">
        <f t="shared" si="17"/>
        <v>0</v>
      </c>
      <c r="K99" s="34">
        <f>SUM(E99:J99)</f>
        <v>20663702</v>
      </c>
      <c r="L99" s="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F9E93-7240-F841-9BE6-F709534038A1}">
  <dimension ref="A1:L99"/>
  <sheetViews>
    <sheetView tabSelected="1" topLeftCell="A73" zoomScale="136" workbookViewId="0">
      <selection activeCell="H53" sqref="H53"/>
    </sheetView>
  </sheetViews>
  <sheetFormatPr baseColWidth="10" defaultColWidth="8.83203125" defaultRowHeight="16" x14ac:dyDescent="0.2"/>
  <cols>
    <col min="1" max="1" width="68.1640625" style="4" customWidth="1"/>
    <col min="2" max="2" width="24.6640625" style="4" hidden="1" customWidth="1"/>
    <col min="3" max="3" width="23.1640625" style="4" hidden="1" customWidth="1"/>
    <col min="4" max="4" width="21" style="4" hidden="1" customWidth="1"/>
    <col min="5" max="5" width="10" style="5" bestFit="1" customWidth="1"/>
    <col min="6" max="6" width="13.1640625" style="5" bestFit="1" customWidth="1"/>
    <col min="7" max="7" width="13.6640625" bestFit="1" customWidth="1"/>
    <col min="8" max="10" width="14.5" bestFit="1" customWidth="1"/>
    <col min="11" max="11" width="11.33203125" bestFit="1" customWidth="1"/>
    <col min="12" max="12" width="13.1640625" customWidth="1"/>
  </cols>
  <sheetData>
    <row r="1" spans="1:11" ht="23" thickBot="1" x14ac:dyDescent="0.25">
      <c r="A1" s="155" t="s">
        <v>146</v>
      </c>
      <c r="B1" s="156"/>
      <c r="C1" s="156"/>
      <c r="D1" s="156"/>
      <c r="E1" s="156"/>
      <c r="F1" s="156"/>
      <c r="G1" s="156"/>
      <c r="H1" s="156"/>
      <c r="I1" s="156"/>
      <c r="J1" s="156"/>
    </row>
    <row r="2" spans="1:11" ht="32" x14ac:dyDescent="0.2">
      <c r="A2" s="26" t="s">
        <v>0</v>
      </c>
      <c r="B2" s="6"/>
      <c r="C2" s="6"/>
      <c r="D2" s="6"/>
      <c r="E2" s="7" t="s">
        <v>107</v>
      </c>
      <c r="F2" s="35" t="s">
        <v>147</v>
      </c>
      <c r="G2" s="35" t="s">
        <v>148</v>
      </c>
      <c r="H2" s="35" t="s">
        <v>149</v>
      </c>
      <c r="I2" s="35" t="s">
        <v>150</v>
      </c>
      <c r="J2" s="35" t="s">
        <v>151</v>
      </c>
      <c r="K2" s="143" t="s">
        <v>116</v>
      </c>
    </row>
    <row r="3" spans="1:11" x14ac:dyDescent="0.2">
      <c r="A3" s="27"/>
      <c r="B3" s="8"/>
      <c r="C3" s="8"/>
      <c r="D3" s="8"/>
      <c r="E3" s="9"/>
      <c r="F3" s="9"/>
      <c r="G3" s="9"/>
      <c r="H3" s="9"/>
      <c r="I3" s="9"/>
      <c r="J3" s="9"/>
      <c r="K3" s="9"/>
    </row>
    <row r="4" spans="1:11" x14ac:dyDescent="0.2">
      <c r="A4" s="28" t="s">
        <v>2</v>
      </c>
      <c r="B4" s="10">
        <v>725167</v>
      </c>
      <c r="C4" s="10">
        <v>31.1</v>
      </c>
      <c r="D4" s="10">
        <v>11</v>
      </c>
      <c r="E4" s="10">
        <f>SUM(E5:E7)</f>
        <v>1056100</v>
      </c>
      <c r="F4" s="10">
        <f t="shared" ref="F4:J4" si="0">SUM(F5:F7)</f>
        <v>0</v>
      </c>
      <c r="G4" s="10">
        <f t="shared" si="0"/>
        <v>0</v>
      </c>
      <c r="H4" s="10">
        <f t="shared" si="0"/>
        <v>0</v>
      </c>
      <c r="I4" s="10">
        <f t="shared" si="0"/>
        <v>0</v>
      </c>
      <c r="J4" s="10">
        <f t="shared" si="0"/>
        <v>0</v>
      </c>
      <c r="K4" s="10">
        <f t="shared" ref="K4:K67" si="1">SUM(E4:J4)</f>
        <v>1056100</v>
      </c>
    </row>
    <row r="5" spans="1:11" x14ac:dyDescent="0.2">
      <c r="A5" s="27" t="s">
        <v>3</v>
      </c>
      <c r="B5" s="11"/>
      <c r="C5" s="11"/>
      <c r="D5" s="11"/>
      <c r="E5" s="12">
        <f>767000</f>
        <v>767000</v>
      </c>
      <c r="F5" s="12"/>
      <c r="G5" s="12"/>
      <c r="H5" s="12"/>
      <c r="I5" s="12"/>
      <c r="J5" s="12"/>
      <c r="K5" s="12">
        <f t="shared" si="1"/>
        <v>767000</v>
      </c>
    </row>
    <row r="6" spans="1:11" x14ac:dyDescent="0.2">
      <c r="A6" s="27" t="s">
        <v>4</v>
      </c>
      <c r="B6" s="11"/>
      <c r="C6" s="11"/>
      <c r="D6" s="11"/>
      <c r="E6" s="12">
        <v>236000</v>
      </c>
      <c r="F6" s="12"/>
      <c r="G6" s="12"/>
      <c r="H6" s="12"/>
      <c r="I6" s="12"/>
      <c r="J6" s="12"/>
      <c r="K6" s="12">
        <f t="shared" si="1"/>
        <v>236000</v>
      </c>
    </row>
    <row r="7" spans="1:11" x14ac:dyDescent="0.2">
      <c r="A7" s="27" t="s">
        <v>5</v>
      </c>
      <c r="B7" s="11"/>
      <c r="C7" s="11"/>
      <c r="D7" s="11"/>
      <c r="E7" s="13">
        <v>53100</v>
      </c>
      <c r="F7" s="13"/>
      <c r="G7" s="170"/>
      <c r="H7" s="13"/>
      <c r="I7" s="13"/>
      <c r="J7" s="13"/>
      <c r="K7" s="13">
        <f t="shared" si="1"/>
        <v>53100</v>
      </c>
    </row>
    <row r="8" spans="1:11" x14ac:dyDescent="0.2">
      <c r="A8" s="28" t="s">
        <v>6</v>
      </c>
      <c r="B8" s="10"/>
      <c r="C8" s="10"/>
      <c r="D8" s="10">
        <v>9</v>
      </c>
      <c r="E8" s="10">
        <f>SUM(E9:E14)</f>
        <v>0</v>
      </c>
      <c r="F8" s="10">
        <f t="shared" ref="F8:J8" si="2">SUM(F9:F14)</f>
        <v>0</v>
      </c>
      <c r="G8" s="10">
        <f t="shared" si="2"/>
        <v>0</v>
      </c>
      <c r="H8" s="10">
        <f t="shared" si="2"/>
        <v>17538</v>
      </c>
      <c r="I8" s="10">
        <f t="shared" si="2"/>
        <v>0</v>
      </c>
      <c r="J8" s="10">
        <f t="shared" si="2"/>
        <v>0</v>
      </c>
      <c r="K8" s="10">
        <f t="shared" si="1"/>
        <v>17538</v>
      </c>
    </row>
    <row r="9" spans="1:11" x14ac:dyDescent="0.2">
      <c r="A9" s="27" t="s">
        <v>7</v>
      </c>
      <c r="B9" s="11"/>
      <c r="C9" s="11"/>
      <c r="D9" s="11"/>
      <c r="E9" s="13"/>
      <c r="F9" s="13"/>
      <c r="G9" s="13"/>
      <c r="H9" s="13"/>
      <c r="I9" s="13"/>
      <c r="J9" s="13"/>
      <c r="K9" s="13">
        <f t="shared" si="1"/>
        <v>0</v>
      </c>
    </row>
    <row r="10" spans="1:11" x14ac:dyDescent="0.2">
      <c r="A10" s="27" t="s">
        <v>8</v>
      </c>
      <c r="B10" s="11"/>
      <c r="C10" s="11"/>
      <c r="D10" s="11"/>
      <c r="E10" s="13"/>
      <c r="F10" s="13"/>
      <c r="G10" s="13"/>
      <c r="H10" s="13"/>
      <c r="I10" s="13"/>
      <c r="J10" s="13"/>
      <c r="K10" s="13">
        <f t="shared" si="1"/>
        <v>0</v>
      </c>
    </row>
    <row r="11" spans="1:11" x14ac:dyDescent="0.2">
      <c r="A11" s="27" t="s">
        <v>9</v>
      </c>
      <c r="B11" s="11"/>
      <c r="C11" s="11"/>
      <c r="D11" s="11"/>
      <c r="E11" s="13"/>
      <c r="F11" s="13"/>
      <c r="G11" s="13"/>
      <c r="H11" s="13"/>
      <c r="J11" s="13"/>
      <c r="K11" s="13">
        <f t="shared" si="1"/>
        <v>0</v>
      </c>
    </row>
    <row r="12" spans="1:11" x14ac:dyDescent="0.2">
      <c r="A12" s="27" t="s">
        <v>10</v>
      </c>
      <c r="B12" s="11"/>
      <c r="C12" s="11"/>
      <c r="D12" s="11"/>
      <c r="E12" s="13"/>
      <c r="F12" s="13"/>
      <c r="G12" s="13"/>
      <c r="H12" s="13"/>
      <c r="I12" s="13"/>
      <c r="J12" s="13"/>
      <c r="K12" s="13">
        <f t="shared" si="1"/>
        <v>0</v>
      </c>
    </row>
    <row r="13" spans="1:11" x14ac:dyDescent="0.2">
      <c r="A13" s="27" t="s">
        <v>11</v>
      </c>
      <c r="B13" s="11"/>
      <c r="C13" s="11"/>
      <c r="D13" s="11"/>
      <c r="E13" s="13"/>
      <c r="F13" s="13"/>
      <c r="G13" s="13"/>
      <c r="H13" s="13">
        <f>428+17110</f>
        <v>17538</v>
      </c>
      <c r="I13" s="13"/>
      <c r="J13" s="13"/>
      <c r="K13" s="13">
        <f t="shared" si="1"/>
        <v>17538</v>
      </c>
    </row>
    <row r="14" spans="1:11" x14ac:dyDescent="0.2">
      <c r="A14" s="27" t="s">
        <v>12</v>
      </c>
      <c r="B14" s="11"/>
      <c r="C14" s="11"/>
      <c r="D14" s="11"/>
      <c r="E14" s="13"/>
      <c r="F14" s="13"/>
      <c r="G14" s="13"/>
      <c r="H14" s="13"/>
      <c r="I14" s="13"/>
      <c r="J14" s="13"/>
      <c r="K14" s="13">
        <f t="shared" si="1"/>
        <v>0</v>
      </c>
    </row>
    <row r="15" spans="1:11" x14ac:dyDescent="0.2">
      <c r="A15" s="28" t="s">
        <v>13</v>
      </c>
      <c r="B15" s="10">
        <v>724989</v>
      </c>
      <c r="C15" s="10">
        <v>29.55</v>
      </c>
      <c r="D15" s="10">
        <v>16</v>
      </c>
      <c r="E15" s="10">
        <f>SUM(E16)</f>
        <v>0</v>
      </c>
      <c r="F15" s="10">
        <f t="shared" ref="F15:H15" si="3">SUM(F16)</f>
        <v>3923500</v>
      </c>
      <c r="G15" s="10">
        <f t="shared" si="3"/>
        <v>0</v>
      </c>
      <c r="H15" s="10">
        <f t="shared" si="3"/>
        <v>0</v>
      </c>
      <c r="I15" s="10">
        <f>SUM(I16)</f>
        <v>0</v>
      </c>
      <c r="J15" s="10">
        <f>SUM(J16)</f>
        <v>0</v>
      </c>
      <c r="K15" s="10">
        <f t="shared" si="1"/>
        <v>3923500</v>
      </c>
    </row>
    <row r="16" spans="1:11" x14ac:dyDescent="0.2">
      <c r="A16" s="27" t="s">
        <v>14</v>
      </c>
      <c r="B16" s="11"/>
      <c r="C16" s="11"/>
      <c r="D16" s="11"/>
      <c r="E16" s="169"/>
      <c r="F16" s="176">
        <f>2548800+312700+1062000</f>
        <v>3923500</v>
      </c>
      <c r="G16" s="169"/>
      <c r="H16" s="169"/>
      <c r="J16" s="169"/>
      <c r="K16" s="14">
        <f t="shared" si="1"/>
        <v>3923500</v>
      </c>
    </row>
    <row r="17" spans="1:11" x14ac:dyDescent="0.2">
      <c r="A17" s="28" t="s">
        <v>15</v>
      </c>
      <c r="B17" s="10"/>
      <c r="C17" s="10">
        <v>0</v>
      </c>
      <c r="D17" s="10">
        <v>16</v>
      </c>
      <c r="E17" s="10">
        <f>SUM(E18:E26)</f>
        <v>0</v>
      </c>
      <c r="F17" s="10">
        <f t="shared" ref="F17:J17" si="4">SUM(F18:F26)</f>
        <v>0</v>
      </c>
      <c r="G17" s="10">
        <f t="shared" si="4"/>
        <v>0</v>
      </c>
      <c r="H17" s="10">
        <f t="shared" si="4"/>
        <v>0</v>
      </c>
      <c r="I17" s="10">
        <f t="shared" si="4"/>
        <v>0</v>
      </c>
      <c r="J17" s="10">
        <f t="shared" si="4"/>
        <v>0</v>
      </c>
      <c r="K17" s="10">
        <f t="shared" si="1"/>
        <v>0</v>
      </c>
    </row>
    <row r="18" spans="1:11" x14ac:dyDescent="0.2">
      <c r="A18" s="27" t="s">
        <v>16</v>
      </c>
      <c r="B18" s="11"/>
      <c r="C18" s="11"/>
      <c r="D18" s="11"/>
      <c r="E18" s="169"/>
      <c r="F18" s="169"/>
      <c r="G18" s="169"/>
      <c r="H18" s="169"/>
      <c r="I18" s="169"/>
      <c r="J18" s="169"/>
      <c r="K18" s="14">
        <f t="shared" si="1"/>
        <v>0</v>
      </c>
    </row>
    <row r="19" spans="1:11" x14ac:dyDescent="0.2">
      <c r="A19" s="27" t="s">
        <v>17</v>
      </c>
      <c r="B19" s="11"/>
      <c r="C19" s="11"/>
      <c r="D19" s="11"/>
      <c r="E19" s="169"/>
      <c r="F19" s="169"/>
      <c r="G19" s="169"/>
      <c r="H19" s="169"/>
      <c r="I19" s="169"/>
      <c r="J19" s="169"/>
      <c r="K19" s="14">
        <f t="shared" si="1"/>
        <v>0</v>
      </c>
    </row>
    <row r="20" spans="1:11" x14ac:dyDescent="0.2">
      <c r="A20" s="27" t="s">
        <v>18</v>
      </c>
      <c r="B20" s="11"/>
      <c r="C20" s="11"/>
      <c r="D20" s="11"/>
      <c r="E20" s="169"/>
      <c r="F20" s="169"/>
      <c r="G20" s="169"/>
      <c r="H20" s="169"/>
      <c r="I20" s="169"/>
      <c r="J20" s="169"/>
      <c r="K20" s="14">
        <f t="shared" si="1"/>
        <v>0</v>
      </c>
    </row>
    <row r="21" spans="1:11" x14ac:dyDescent="0.2">
      <c r="A21" s="27" t="s">
        <v>19</v>
      </c>
      <c r="B21" s="11"/>
      <c r="C21" s="11"/>
      <c r="D21" s="11"/>
      <c r="E21" s="169"/>
      <c r="F21" s="169"/>
      <c r="G21" s="169"/>
      <c r="H21" s="169"/>
      <c r="I21" s="169"/>
      <c r="J21" s="169"/>
      <c r="K21" s="14">
        <f t="shared" si="1"/>
        <v>0</v>
      </c>
    </row>
    <row r="22" spans="1:11" x14ac:dyDescent="0.2">
      <c r="A22" s="29" t="s">
        <v>20</v>
      </c>
      <c r="B22" s="11"/>
      <c r="C22" s="11"/>
      <c r="D22" s="11"/>
      <c r="E22" s="169"/>
      <c r="F22" s="169"/>
      <c r="G22" s="169"/>
      <c r="H22" s="169"/>
      <c r="I22" s="169"/>
      <c r="J22" s="169"/>
      <c r="K22" s="14">
        <f t="shared" si="1"/>
        <v>0</v>
      </c>
    </row>
    <row r="23" spans="1:11" x14ac:dyDescent="0.2">
      <c r="A23" s="29" t="s">
        <v>21</v>
      </c>
      <c r="B23" s="11"/>
      <c r="C23" s="11"/>
      <c r="D23" s="11"/>
      <c r="E23" s="169"/>
      <c r="F23" s="169"/>
      <c r="G23" s="169"/>
      <c r="H23" s="169"/>
      <c r="I23" s="169"/>
      <c r="J23" s="169"/>
      <c r="K23" s="14">
        <f t="shared" si="1"/>
        <v>0</v>
      </c>
    </row>
    <row r="24" spans="1:11" x14ac:dyDescent="0.2">
      <c r="A24" s="29" t="s">
        <v>22</v>
      </c>
      <c r="B24" s="11"/>
      <c r="C24" s="11"/>
      <c r="D24" s="11"/>
      <c r="E24" s="169"/>
      <c r="F24" s="169"/>
      <c r="G24" s="169"/>
      <c r="H24" s="169"/>
      <c r="I24" s="169"/>
      <c r="J24" s="169"/>
      <c r="K24" s="14">
        <f t="shared" si="1"/>
        <v>0</v>
      </c>
    </row>
    <row r="25" spans="1:11" x14ac:dyDescent="0.2">
      <c r="A25" s="29" t="s">
        <v>23</v>
      </c>
      <c r="B25" s="11"/>
      <c r="C25" s="11"/>
      <c r="D25" s="11"/>
      <c r="E25" s="169"/>
      <c r="F25" s="169"/>
      <c r="G25" s="169"/>
      <c r="H25" s="169"/>
      <c r="I25" s="169"/>
      <c r="J25" s="169"/>
      <c r="K25" s="14">
        <f t="shared" si="1"/>
        <v>0</v>
      </c>
    </row>
    <row r="26" spans="1:11" x14ac:dyDescent="0.2">
      <c r="A26" s="27" t="s">
        <v>24</v>
      </c>
      <c r="B26" s="11"/>
      <c r="C26" s="11"/>
      <c r="D26" s="11"/>
      <c r="E26" s="169"/>
      <c r="F26" s="169"/>
      <c r="G26" s="169"/>
      <c r="H26" s="169"/>
      <c r="I26" s="169"/>
      <c r="J26" s="169"/>
      <c r="K26" s="14">
        <f t="shared" si="1"/>
        <v>0</v>
      </c>
    </row>
    <row r="27" spans="1:11" x14ac:dyDescent="0.2">
      <c r="A27" s="28" t="s">
        <v>25</v>
      </c>
      <c r="B27" s="10">
        <v>24017</v>
      </c>
      <c r="C27" s="10">
        <v>0.9</v>
      </c>
      <c r="D27" s="10">
        <v>1</v>
      </c>
      <c r="E27" s="10">
        <f>SUM(E28:E33)</f>
        <v>0</v>
      </c>
      <c r="F27" s="10">
        <f t="shared" ref="F27:J27" si="5">SUM(F28:F33)</f>
        <v>0</v>
      </c>
      <c r="G27" s="10">
        <f t="shared" si="5"/>
        <v>0</v>
      </c>
      <c r="H27" s="10">
        <f t="shared" si="5"/>
        <v>0</v>
      </c>
      <c r="I27" s="10">
        <f t="shared" si="5"/>
        <v>0</v>
      </c>
      <c r="J27" s="10">
        <f t="shared" si="5"/>
        <v>0</v>
      </c>
      <c r="K27" s="10">
        <f t="shared" si="1"/>
        <v>0</v>
      </c>
    </row>
    <row r="28" spans="1:11" x14ac:dyDescent="0.2">
      <c r="A28" s="27" t="s">
        <v>26</v>
      </c>
      <c r="B28" s="11"/>
      <c r="C28" s="11"/>
      <c r="D28" s="11"/>
      <c r="E28" s="15"/>
      <c r="F28" s="16"/>
      <c r="G28" s="15"/>
      <c r="H28" s="17"/>
      <c r="I28" s="18"/>
      <c r="J28" s="19"/>
      <c r="K28" s="19">
        <f t="shared" si="1"/>
        <v>0</v>
      </c>
    </row>
    <row r="29" spans="1:11" x14ac:dyDescent="0.2">
      <c r="A29" s="27" t="s">
        <v>27</v>
      </c>
      <c r="B29" s="11"/>
      <c r="C29" s="11"/>
      <c r="D29" s="11"/>
      <c r="E29" s="16"/>
      <c r="F29" s="16"/>
      <c r="G29" s="15"/>
      <c r="H29" s="16"/>
      <c r="I29" s="19"/>
      <c r="J29" s="19"/>
      <c r="K29" s="19">
        <f t="shared" si="1"/>
        <v>0</v>
      </c>
    </row>
    <row r="30" spans="1:11" x14ac:dyDescent="0.2">
      <c r="A30" s="27" t="s">
        <v>28</v>
      </c>
      <c r="B30" s="11"/>
      <c r="C30" s="11"/>
      <c r="D30" s="11"/>
      <c r="F30" s="16"/>
      <c r="G30" s="15"/>
      <c r="H30" s="16"/>
      <c r="I30" s="19"/>
      <c r="J30" s="19"/>
      <c r="K30" s="19">
        <f>SUM(F30:J30)</f>
        <v>0</v>
      </c>
    </row>
    <row r="31" spans="1:11" x14ac:dyDescent="0.2">
      <c r="A31" s="27" t="s">
        <v>29</v>
      </c>
      <c r="B31" s="11"/>
      <c r="C31" s="11"/>
      <c r="D31" s="11"/>
      <c r="E31" s="16"/>
      <c r="F31" s="16"/>
      <c r="G31" s="15"/>
      <c r="H31" s="17"/>
      <c r="I31" s="18"/>
      <c r="J31" s="19"/>
      <c r="K31" s="19"/>
    </row>
    <row r="32" spans="1:11" x14ac:dyDescent="0.2">
      <c r="A32" s="30" t="s">
        <v>30</v>
      </c>
      <c r="B32" s="11"/>
      <c r="C32" s="11"/>
      <c r="D32" s="11"/>
      <c r="E32" s="16"/>
      <c r="F32" s="16"/>
      <c r="G32" s="15"/>
      <c r="H32" s="18"/>
      <c r="I32" s="19"/>
      <c r="J32" s="19"/>
      <c r="K32" s="19"/>
    </row>
    <row r="33" spans="1:12" x14ac:dyDescent="0.2">
      <c r="A33" s="27" t="s">
        <v>31</v>
      </c>
      <c r="B33" s="11"/>
      <c r="C33" s="11"/>
      <c r="D33" s="11"/>
      <c r="E33" s="16"/>
      <c r="F33" s="16"/>
      <c r="G33" s="15"/>
      <c r="H33" s="17"/>
      <c r="I33" s="18"/>
      <c r="J33" s="19"/>
      <c r="K33" s="19">
        <f t="shared" si="1"/>
        <v>0</v>
      </c>
    </row>
    <row r="34" spans="1:12" x14ac:dyDescent="0.2">
      <c r="A34" s="28" t="s">
        <v>32</v>
      </c>
      <c r="B34" s="10"/>
      <c r="C34" s="10">
        <v>0</v>
      </c>
      <c r="D34" s="10">
        <v>14</v>
      </c>
      <c r="E34" s="10">
        <f>SUM(E35:E38)</f>
        <v>0</v>
      </c>
      <c r="F34" s="10">
        <f t="shared" ref="F34:J34" si="6">SUM(F35:F38)</f>
        <v>0</v>
      </c>
      <c r="G34" s="10">
        <f t="shared" si="6"/>
        <v>0</v>
      </c>
      <c r="H34" s="10">
        <f t="shared" si="6"/>
        <v>885000</v>
      </c>
      <c r="I34" s="10">
        <f t="shared" si="6"/>
        <v>0</v>
      </c>
      <c r="J34" s="10">
        <f t="shared" si="6"/>
        <v>0</v>
      </c>
      <c r="K34" s="10">
        <f t="shared" si="1"/>
        <v>885000</v>
      </c>
    </row>
    <row r="35" spans="1:12" x14ac:dyDescent="0.2">
      <c r="A35" s="27" t="s">
        <v>33</v>
      </c>
      <c r="B35" s="11"/>
      <c r="C35" s="11"/>
      <c r="D35" s="11"/>
      <c r="E35" s="16"/>
      <c r="F35" s="16"/>
      <c r="G35" s="15"/>
      <c r="H35" s="20"/>
      <c r="I35" s="18"/>
      <c r="J35" s="15"/>
      <c r="K35" s="15">
        <f t="shared" si="1"/>
        <v>0</v>
      </c>
    </row>
    <row r="36" spans="1:12" x14ac:dyDescent="0.2">
      <c r="A36" s="27" t="s">
        <v>34</v>
      </c>
      <c r="B36" s="11"/>
      <c r="C36" s="11"/>
      <c r="D36" s="11"/>
      <c r="E36" s="19"/>
      <c r="F36" s="19"/>
      <c r="G36" s="19"/>
      <c r="H36" s="19"/>
      <c r="J36" s="19"/>
      <c r="K36" s="19">
        <f t="shared" si="1"/>
        <v>0</v>
      </c>
    </row>
    <row r="37" spans="1:12" x14ac:dyDescent="0.2">
      <c r="A37" s="27" t="s">
        <v>35</v>
      </c>
      <c r="B37" s="11"/>
      <c r="C37" s="11"/>
      <c r="D37" s="11"/>
      <c r="E37" s="19"/>
      <c r="F37" s="19"/>
      <c r="G37" s="19"/>
      <c r="H37" s="19">
        <f>885000</f>
        <v>885000</v>
      </c>
      <c r="I37" s="19"/>
      <c r="J37" s="19"/>
      <c r="K37" s="19">
        <f t="shared" si="1"/>
        <v>885000</v>
      </c>
    </row>
    <row r="38" spans="1:12" x14ac:dyDescent="0.2">
      <c r="A38" s="27" t="s">
        <v>36</v>
      </c>
      <c r="B38" s="11"/>
      <c r="C38" s="11"/>
      <c r="D38" s="11"/>
      <c r="E38" s="19"/>
      <c r="F38" s="16"/>
      <c r="G38" s="16"/>
      <c r="H38" s="16"/>
      <c r="I38" s="16"/>
      <c r="J38" s="16"/>
      <c r="K38" s="16">
        <f t="shared" si="1"/>
        <v>0</v>
      </c>
    </row>
    <row r="39" spans="1:12" x14ac:dyDescent="0.2">
      <c r="A39" s="28" t="s">
        <v>37</v>
      </c>
      <c r="B39" s="10"/>
      <c r="C39" s="10">
        <v>0</v>
      </c>
      <c r="D39" s="10"/>
      <c r="E39" s="10">
        <f>SUM(E40)</f>
        <v>0</v>
      </c>
      <c r="F39" s="10">
        <f t="shared" ref="F39:J39" si="7">SUM(F40)</f>
        <v>0</v>
      </c>
      <c r="G39" s="10">
        <f t="shared" si="7"/>
        <v>0</v>
      </c>
      <c r="H39" s="10">
        <f t="shared" si="7"/>
        <v>0</v>
      </c>
      <c r="I39" s="10">
        <f t="shared" si="7"/>
        <v>0</v>
      </c>
      <c r="J39" s="10">
        <f t="shared" si="7"/>
        <v>0</v>
      </c>
      <c r="K39" s="10">
        <f t="shared" si="1"/>
        <v>0</v>
      </c>
    </row>
    <row r="40" spans="1:12" x14ac:dyDescent="0.2">
      <c r="A40" s="27" t="s">
        <v>38</v>
      </c>
      <c r="B40" s="11"/>
      <c r="C40" s="11"/>
      <c r="D40" s="11"/>
      <c r="E40" s="16"/>
      <c r="F40" s="16"/>
      <c r="G40" s="15"/>
      <c r="H40" s="20"/>
      <c r="I40" s="20"/>
      <c r="J40" s="18"/>
      <c r="K40" s="18">
        <f t="shared" si="1"/>
        <v>0</v>
      </c>
    </row>
    <row r="41" spans="1:12" x14ac:dyDescent="0.2">
      <c r="A41" s="28" t="s">
        <v>39</v>
      </c>
      <c r="B41" s="10"/>
      <c r="C41" s="10"/>
      <c r="D41" s="10"/>
      <c r="E41" s="10">
        <f>SUM(E42)</f>
        <v>0</v>
      </c>
      <c r="F41" s="10">
        <f t="shared" ref="F41:J41" si="8">SUM(F42)</f>
        <v>125000</v>
      </c>
      <c r="G41" s="10">
        <f t="shared" si="8"/>
        <v>150000</v>
      </c>
      <c r="H41" s="10">
        <f t="shared" si="8"/>
        <v>0</v>
      </c>
      <c r="I41" s="10">
        <f t="shared" si="8"/>
        <v>0</v>
      </c>
      <c r="J41" s="10">
        <f t="shared" si="8"/>
        <v>0</v>
      </c>
      <c r="K41" s="10">
        <f t="shared" si="1"/>
        <v>275000</v>
      </c>
    </row>
    <row r="42" spans="1:12" x14ac:dyDescent="0.2">
      <c r="A42" s="27" t="s">
        <v>40</v>
      </c>
      <c r="B42" s="11"/>
      <c r="C42" s="11"/>
      <c r="D42" s="11"/>
      <c r="E42" s="16"/>
      <c r="F42" s="16">
        <f>125000</f>
        <v>125000</v>
      </c>
      <c r="G42" s="15">
        <f>150000</f>
        <v>150000</v>
      </c>
      <c r="H42" s="18"/>
      <c r="I42" s="20"/>
      <c r="J42" s="18"/>
      <c r="K42" s="18">
        <f t="shared" si="1"/>
        <v>275000</v>
      </c>
    </row>
    <row r="43" spans="1:12" x14ac:dyDescent="0.2">
      <c r="A43" s="28" t="s">
        <v>41</v>
      </c>
      <c r="B43" s="10">
        <v>62341</v>
      </c>
      <c r="C43" s="10">
        <v>2.63</v>
      </c>
      <c r="D43" s="10">
        <v>11</v>
      </c>
      <c r="E43" s="10">
        <f>SUM(E44:E49)</f>
        <v>0</v>
      </c>
      <c r="F43" s="10">
        <f t="shared" ref="F43:J43" si="9">SUM(F44:F49)</f>
        <v>0</v>
      </c>
      <c r="G43" s="10">
        <f t="shared" si="9"/>
        <v>0</v>
      </c>
      <c r="H43" s="10">
        <f t="shared" si="9"/>
        <v>0</v>
      </c>
      <c r="I43" s="10">
        <f t="shared" si="9"/>
        <v>0</v>
      </c>
      <c r="J43" s="10">
        <f t="shared" si="9"/>
        <v>0</v>
      </c>
      <c r="K43" s="10">
        <f t="shared" si="1"/>
        <v>0</v>
      </c>
    </row>
    <row r="44" spans="1:12" x14ac:dyDescent="0.2">
      <c r="A44" s="30" t="s">
        <v>42</v>
      </c>
      <c r="B44" s="21"/>
      <c r="C44" s="21"/>
      <c r="D44" s="21"/>
      <c r="E44" s="19"/>
      <c r="F44" s="19"/>
      <c r="G44" s="19"/>
      <c r="H44" s="19"/>
      <c r="I44" s="19"/>
      <c r="J44" s="19"/>
      <c r="K44" s="19">
        <f t="shared" si="1"/>
        <v>0</v>
      </c>
      <c r="L44" s="2"/>
    </row>
    <row r="45" spans="1:12" x14ac:dyDescent="0.2">
      <c r="A45" s="30" t="s">
        <v>44</v>
      </c>
      <c r="B45" s="21"/>
      <c r="C45" s="21"/>
      <c r="D45" s="21"/>
      <c r="E45" s="22"/>
      <c r="F45" s="19"/>
      <c r="G45" s="19"/>
      <c r="H45" s="19"/>
      <c r="I45" s="19"/>
      <c r="J45" s="23"/>
      <c r="K45" s="23">
        <f t="shared" si="1"/>
        <v>0</v>
      </c>
    </row>
    <row r="46" spans="1:12" x14ac:dyDescent="0.2">
      <c r="A46" s="30" t="s">
        <v>46</v>
      </c>
      <c r="B46" s="21"/>
      <c r="C46" s="21"/>
      <c r="D46" s="21"/>
      <c r="E46" s="19"/>
      <c r="F46" s="19"/>
      <c r="G46" s="19"/>
      <c r="H46" s="19"/>
      <c r="I46" s="19"/>
      <c r="J46" s="19"/>
      <c r="K46" s="19">
        <f t="shared" si="1"/>
        <v>0</v>
      </c>
    </row>
    <row r="47" spans="1:12" x14ac:dyDescent="0.2">
      <c r="A47" s="30" t="s">
        <v>48</v>
      </c>
      <c r="B47" s="21"/>
      <c r="C47" s="21"/>
      <c r="D47" s="21"/>
      <c r="E47" s="19"/>
      <c r="F47" s="19"/>
      <c r="G47" s="170"/>
      <c r="H47" s="19"/>
      <c r="I47" s="19"/>
      <c r="J47" s="19"/>
      <c r="K47" s="19">
        <f t="shared" si="1"/>
        <v>0</v>
      </c>
    </row>
    <row r="48" spans="1:12" x14ac:dyDescent="0.2">
      <c r="A48" s="30" t="s">
        <v>50</v>
      </c>
      <c r="B48" s="21"/>
      <c r="C48" s="21"/>
      <c r="D48" s="21"/>
      <c r="E48" s="19"/>
      <c r="F48" s="19"/>
      <c r="G48" s="19"/>
      <c r="H48" s="19"/>
      <c r="I48" s="19"/>
      <c r="J48" s="19"/>
      <c r="K48" s="19">
        <f t="shared" si="1"/>
        <v>0</v>
      </c>
    </row>
    <row r="49" spans="1:11" x14ac:dyDescent="0.2">
      <c r="A49" s="30" t="s">
        <v>52</v>
      </c>
      <c r="B49" s="21"/>
      <c r="C49" s="21"/>
      <c r="D49" s="21"/>
      <c r="E49" s="19"/>
      <c r="F49" s="19"/>
      <c r="G49" s="19"/>
      <c r="H49" s="19"/>
      <c r="I49" s="19"/>
      <c r="J49" s="19"/>
      <c r="K49" s="19">
        <f t="shared" si="1"/>
        <v>0</v>
      </c>
    </row>
    <row r="50" spans="1:11" x14ac:dyDescent="0.2">
      <c r="A50" s="28" t="s">
        <v>43</v>
      </c>
      <c r="B50" s="10"/>
      <c r="C50" s="10"/>
      <c r="D50" s="10"/>
      <c r="E50" s="10">
        <f>SUM(E51:E54)</f>
        <v>0</v>
      </c>
      <c r="F50" s="10">
        <f t="shared" ref="F50:I50" si="10">SUM(F51:F54)</f>
        <v>0</v>
      </c>
      <c r="G50" s="10">
        <f t="shared" si="10"/>
        <v>0</v>
      </c>
      <c r="H50" s="10">
        <f t="shared" si="10"/>
        <v>751542</v>
      </c>
      <c r="I50" s="10">
        <f t="shared" si="10"/>
        <v>0</v>
      </c>
      <c r="J50" s="10">
        <f>SUM(J51:J54)</f>
        <v>0</v>
      </c>
      <c r="K50" s="10">
        <f t="shared" si="1"/>
        <v>751542</v>
      </c>
    </row>
    <row r="51" spans="1:11" x14ac:dyDescent="0.2">
      <c r="A51" s="30" t="s">
        <v>47</v>
      </c>
      <c r="B51" s="21"/>
      <c r="C51" s="21"/>
      <c r="D51" s="21"/>
      <c r="E51" s="19"/>
      <c r="F51" s="19"/>
      <c r="G51" s="19"/>
      <c r="H51" s="19"/>
      <c r="I51" s="19"/>
      <c r="J51" s="19"/>
      <c r="K51" s="19">
        <f t="shared" si="1"/>
        <v>0</v>
      </c>
    </row>
    <row r="52" spans="1:11" x14ac:dyDescent="0.2">
      <c r="A52" s="30" t="s">
        <v>45</v>
      </c>
      <c r="B52" s="21"/>
      <c r="C52" s="21"/>
      <c r="D52" s="21"/>
      <c r="E52" s="19"/>
      <c r="F52" s="19"/>
      <c r="G52" s="19"/>
      <c r="H52" s="19">
        <f>751542</f>
        <v>751542</v>
      </c>
      <c r="I52" s="20"/>
      <c r="J52" s="19"/>
      <c r="K52" s="19">
        <f t="shared" si="1"/>
        <v>751542</v>
      </c>
    </row>
    <row r="53" spans="1:11" x14ac:dyDescent="0.2">
      <c r="A53" s="30" t="s">
        <v>49</v>
      </c>
      <c r="B53" s="21"/>
      <c r="C53" s="21"/>
      <c r="D53" s="21"/>
      <c r="E53" s="19"/>
      <c r="F53" s="19"/>
      <c r="H53" s="19"/>
      <c r="I53" s="20"/>
      <c r="J53" s="19"/>
      <c r="K53" s="19">
        <f t="shared" si="1"/>
        <v>0</v>
      </c>
    </row>
    <row r="54" spans="1:11" x14ac:dyDescent="0.2">
      <c r="A54" s="30" t="s">
        <v>51</v>
      </c>
      <c r="B54" s="21"/>
      <c r="C54" s="21"/>
      <c r="D54" s="21"/>
      <c r="E54" s="19"/>
      <c r="F54" s="19"/>
      <c r="G54" s="19"/>
      <c r="H54" s="19"/>
      <c r="I54" s="20"/>
      <c r="J54" s="19"/>
      <c r="K54" s="19">
        <f t="shared" si="1"/>
        <v>0</v>
      </c>
    </row>
    <row r="55" spans="1:11" s="2" customFormat="1" ht="15" x14ac:dyDescent="0.2">
      <c r="A55" s="28" t="s">
        <v>53</v>
      </c>
      <c r="B55" s="11"/>
      <c r="C55" s="11"/>
      <c r="D55" s="11"/>
      <c r="E55" s="10">
        <f>SUM(E56:E67)</f>
        <v>0</v>
      </c>
      <c r="F55" s="10">
        <f t="shared" ref="F55:J55" si="11">SUM(F56:F67)</f>
        <v>0</v>
      </c>
      <c r="G55" s="10">
        <f t="shared" si="11"/>
        <v>0</v>
      </c>
      <c r="H55" s="10">
        <f t="shared" si="11"/>
        <v>0</v>
      </c>
      <c r="I55" s="10">
        <f t="shared" si="11"/>
        <v>0</v>
      </c>
      <c r="J55" s="10">
        <f t="shared" si="11"/>
        <v>0</v>
      </c>
      <c r="K55" s="10">
        <f t="shared" si="1"/>
        <v>0</v>
      </c>
    </row>
    <row r="56" spans="1:11" x14ac:dyDescent="0.2">
      <c r="A56" s="27" t="s">
        <v>54</v>
      </c>
      <c r="B56" s="11"/>
      <c r="C56" s="11"/>
      <c r="D56" s="11"/>
      <c r="E56" s="18"/>
      <c r="F56" s="18"/>
      <c r="G56" s="18"/>
      <c r="H56" s="18"/>
      <c r="I56" s="18"/>
      <c r="J56" s="18"/>
      <c r="K56" s="18">
        <f t="shared" si="1"/>
        <v>0</v>
      </c>
    </row>
    <row r="57" spans="1:11" x14ac:dyDescent="0.2">
      <c r="A57" s="27" t="s">
        <v>55</v>
      </c>
      <c r="B57" s="11"/>
      <c r="C57" s="11"/>
      <c r="D57" s="11"/>
      <c r="E57" s="18"/>
      <c r="F57" s="18"/>
      <c r="G57" s="18"/>
      <c r="H57" s="18"/>
      <c r="I57" s="18"/>
      <c r="J57" s="18"/>
      <c r="K57" s="18">
        <f t="shared" si="1"/>
        <v>0</v>
      </c>
    </row>
    <row r="58" spans="1:11" x14ac:dyDescent="0.2">
      <c r="A58" s="27" t="s">
        <v>56</v>
      </c>
      <c r="B58" s="11"/>
      <c r="C58" s="11"/>
      <c r="D58" s="11"/>
      <c r="E58" s="18"/>
      <c r="F58" s="18"/>
      <c r="G58" s="18"/>
      <c r="H58" s="18"/>
      <c r="I58" s="18"/>
      <c r="J58" s="18"/>
      <c r="K58" s="18">
        <f t="shared" si="1"/>
        <v>0</v>
      </c>
    </row>
    <row r="59" spans="1:11" x14ac:dyDescent="0.2">
      <c r="A59" s="27" t="s">
        <v>57</v>
      </c>
      <c r="B59" s="11"/>
      <c r="C59" s="11"/>
      <c r="D59" s="11"/>
      <c r="E59" s="18"/>
      <c r="F59" s="18"/>
      <c r="G59" s="18"/>
      <c r="H59" s="18"/>
      <c r="I59" s="18"/>
      <c r="J59" s="18"/>
      <c r="K59" s="18">
        <f t="shared" si="1"/>
        <v>0</v>
      </c>
    </row>
    <row r="60" spans="1:11" x14ac:dyDescent="0.2">
      <c r="A60" s="27" t="s">
        <v>58</v>
      </c>
      <c r="B60" s="11"/>
      <c r="C60" s="11"/>
      <c r="D60" s="11"/>
      <c r="E60" s="18"/>
      <c r="F60" s="18"/>
      <c r="G60" s="18"/>
      <c r="H60" s="18"/>
      <c r="I60" s="18"/>
      <c r="J60" s="18"/>
      <c r="K60" s="18">
        <f t="shared" si="1"/>
        <v>0</v>
      </c>
    </row>
    <row r="61" spans="1:11" x14ac:dyDescent="0.2">
      <c r="A61" s="27" t="s">
        <v>59</v>
      </c>
      <c r="B61" s="11"/>
      <c r="C61" s="11"/>
      <c r="D61" s="11"/>
      <c r="E61" s="16"/>
      <c r="F61" s="16"/>
      <c r="G61" s="15"/>
      <c r="H61" s="18"/>
      <c r="I61" s="18"/>
      <c r="J61" s="18"/>
      <c r="K61" s="18">
        <f t="shared" si="1"/>
        <v>0</v>
      </c>
    </row>
    <row r="62" spans="1:11" x14ac:dyDescent="0.2">
      <c r="A62" s="27" t="s">
        <v>60</v>
      </c>
      <c r="B62" s="11"/>
      <c r="C62" s="11"/>
      <c r="D62" s="11"/>
      <c r="E62" s="16"/>
      <c r="F62" s="16"/>
      <c r="G62" s="15"/>
      <c r="H62" s="18"/>
      <c r="I62" s="18"/>
      <c r="J62" s="18"/>
      <c r="K62" s="18">
        <f t="shared" si="1"/>
        <v>0</v>
      </c>
    </row>
    <row r="63" spans="1:11" x14ac:dyDescent="0.2">
      <c r="A63" s="27" t="s">
        <v>61</v>
      </c>
      <c r="B63" s="11"/>
      <c r="C63" s="11"/>
      <c r="D63" s="11"/>
      <c r="E63" s="18"/>
      <c r="F63" s="18"/>
      <c r="G63" s="18"/>
      <c r="H63" s="18"/>
      <c r="I63" s="18"/>
      <c r="J63" s="18"/>
      <c r="K63" s="18">
        <f t="shared" si="1"/>
        <v>0</v>
      </c>
    </row>
    <row r="64" spans="1:11" x14ac:dyDescent="0.2">
      <c r="A64" s="27" t="s">
        <v>62</v>
      </c>
      <c r="B64" s="11"/>
      <c r="C64" s="11"/>
      <c r="D64" s="11"/>
      <c r="E64" s="16"/>
      <c r="F64" s="16"/>
      <c r="G64" s="16"/>
      <c r="H64" s="23"/>
      <c r="I64" s="18"/>
      <c r="J64" s="18"/>
      <c r="K64" s="18">
        <f t="shared" si="1"/>
        <v>0</v>
      </c>
    </row>
    <row r="65" spans="1:11" x14ac:dyDescent="0.2">
      <c r="A65" s="27" t="s">
        <v>63</v>
      </c>
      <c r="B65" s="11"/>
      <c r="C65" s="11"/>
      <c r="D65" s="11"/>
      <c r="E65" s="16"/>
      <c r="F65" s="16"/>
      <c r="G65" s="15"/>
      <c r="H65" s="18"/>
      <c r="I65" s="18"/>
      <c r="J65" s="18"/>
      <c r="K65" s="18">
        <f t="shared" si="1"/>
        <v>0</v>
      </c>
    </row>
    <row r="66" spans="1:11" x14ac:dyDescent="0.2">
      <c r="A66" s="27" t="s">
        <v>64</v>
      </c>
      <c r="B66" s="11"/>
      <c r="C66" s="11"/>
      <c r="D66" s="11"/>
      <c r="E66" s="16"/>
      <c r="F66" s="16"/>
      <c r="G66" s="16"/>
      <c r="H66" s="16"/>
      <c r="I66" s="18"/>
      <c r="J66" s="18"/>
      <c r="K66" s="18">
        <f t="shared" si="1"/>
        <v>0</v>
      </c>
    </row>
    <row r="67" spans="1:11" x14ac:dyDescent="0.2">
      <c r="A67" s="27" t="s">
        <v>65</v>
      </c>
      <c r="B67" s="11"/>
      <c r="C67" s="11"/>
      <c r="D67" s="11"/>
      <c r="E67" s="16"/>
      <c r="F67" s="16"/>
      <c r="G67" s="16"/>
      <c r="H67" s="18"/>
      <c r="I67" s="18"/>
      <c r="J67" s="18"/>
      <c r="K67" s="18">
        <f t="shared" si="1"/>
        <v>0</v>
      </c>
    </row>
    <row r="68" spans="1:11" x14ac:dyDescent="0.2">
      <c r="A68" s="31" t="s">
        <v>66</v>
      </c>
      <c r="B68" s="10"/>
      <c r="C68" s="10"/>
      <c r="D68" s="10"/>
      <c r="E68" s="10">
        <f>SUM(E69:E85)</f>
        <v>0</v>
      </c>
      <c r="F68" s="10">
        <f t="shared" ref="F68:J68" si="12">SUM(F69:F85)</f>
        <v>0</v>
      </c>
      <c r="G68" s="10">
        <f t="shared" si="12"/>
        <v>0</v>
      </c>
      <c r="H68" s="10">
        <f t="shared" si="12"/>
        <v>0</v>
      </c>
      <c r="I68" s="10">
        <f t="shared" si="12"/>
        <v>0</v>
      </c>
      <c r="J68" s="10">
        <f t="shared" si="12"/>
        <v>0</v>
      </c>
      <c r="K68" s="10">
        <f t="shared" ref="K68:K98" si="13">SUM(E68:J68)</f>
        <v>0</v>
      </c>
    </row>
    <row r="69" spans="1:11" x14ac:dyDescent="0.2">
      <c r="A69" s="29" t="s">
        <v>67</v>
      </c>
      <c r="B69" s="21"/>
      <c r="C69" s="21"/>
      <c r="D69" s="21"/>
      <c r="E69" s="19"/>
      <c r="F69" s="19"/>
      <c r="G69" s="19"/>
      <c r="H69" s="19"/>
      <c r="I69" s="19"/>
      <c r="J69" s="19"/>
      <c r="K69" s="19">
        <f t="shared" si="13"/>
        <v>0</v>
      </c>
    </row>
    <row r="70" spans="1:11" x14ac:dyDescent="0.2">
      <c r="A70" s="29" t="s">
        <v>68</v>
      </c>
      <c r="B70" s="21"/>
      <c r="C70" s="21"/>
      <c r="D70" s="21"/>
      <c r="E70" s="19"/>
      <c r="F70" s="19"/>
      <c r="G70" s="19"/>
      <c r="H70" s="19"/>
      <c r="I70" s="19"/>
      <c r="J70" s="19"/>
      <c r="K70" s="19">
        <f t="shared" si="13"/>
        <v>0</v>
      </c>
    </row>
    <row r="71" spans="1:11" x14ac:dyDescent="0.2">
      <c r="A71" s="29" t="s">
        <v>69</v>
      </c>
      <c r="B71" s="21"/>
      <c r="C71" s="21"/>
      <c r="D71" s="21"/>
      <c r="E71" s="19"/>
      <c r="F71" s="19"/>
      <c r="G71" s="19"/>
      <c r="H71" s="19"/>
      <c r="I71" s="19"/>
      <c r="J71" s="19"/>
      <c r="K71" s="19">
        <f t="shared" si="13"/>
        <v>0</v>
      </c>
    </row>
    <row r="72" spans="1:11" x14ac:dyDescent="0.2">
      <c r="A72" s="29" t="s">
        <v>70</v>
      </c>
      <c r="B72" s="21"/>
      <c r="C72" s="21"/>
      <c r="D72" s="21"/>
      <c r="E72" s="19"/>
      <c r="F72" s="19"/>
      <c r="G72" s="19"/>
      <c r="H72" s="19"/>
      <c r="I72" s="19"/>
      <c r="J72" s="19"/>
      <c r="K72" s="19">
        <f t="shared" si="13"/>
        <v>0</v>
      </c>
    </row>
    <row r="73" spans="1:11" x14ac:dyDescent="0.2">
      <c r="A73" s="29" t="s">
        <v>71</v>
      </c>
      <c r="B73" s="21"/>
      <c r="C73" s="21"/>
      <c r="D73" s="21"/>
      <c r="E73" s="19"/>
      <c r="F73" s="19"/>
      <c r="G73" s="19"/>
      <c r="H73" s="19"/>
      <c r="I73" s="19"/>
      <c r="J73" s="19"/>
      <c r="K73" s="19">
        <f t="shared" si="13"/>
        <v>0</v>
      </c>
    </row>
    <row r="74" spans="1:11" x14ac:dyDescent="0.2">
      <c r="A74" s="29" t="s">
        <v>72</v>
      </c>
      <c r="B74" s="21"/>
      <c r="C74" s="21"/>
      <c r="D74" s="21"/>
      <c r="E74" s="19"/>
      <c r="F74" s="19"/>
      <c r="G74" s="19"/>
      <c r="H74" s="19"/>
      <c r="I74" s="19"/>
      <c r="J74" s="19"/>
      <c r="K74" s="19">
        <f t="shared" si="13"/>
        <v>0</v>
      </c>
    </row>
    <row r="75" spans="1:11" x14ac:dyDescent="0.2">
      <c r="A75" s="29" t="s">
        <v>73</v>
      </c>
      <c r="B75" s="21"/>
      <c r="C75" s="21"/>
      <c r="D75" s="21"/>
      <c r="E75" s="19"/>
      <c r="F75" s="19"/>
      <c r="G75" s="19"/>
      <c r="H75" s="19"/>
      <c r="I75" s="19"/>
      <c r="J75" s="19"/>
      <c r="K75" s="19">
        <f t="shared" si="13"/>
        <v>0</v>
      </c>
    </row>
    <row r="76" spans="1:11" x14ac:dyDescent="0.2">
      <c r="A76" s="29" t="s">
        <v>74</v>
      </c>
      <c r="B76" s="21"/>
      <c r="C76" s="21"/>
      <c r="D76" s="21"/>
      <c r="E76" s="19"/>
      <c r="F76" s="19"/>
      <c r="G76" s="19"/>
      <c r="H76" s="19"/>
      <c r="I76" s="19"/>
      <c r="J76" s="19"/>
      <c r="K76" s="19">
        <f t="shared" si="13"/>
        <v>0</v>
      </c>
    </row>
    <row r="77" spans="1:11" x14ac:dyDescent="0.2">
      <c r="A77" s="29" t="s">
        <v>75</v>
      </c>
      <c r="B77" s="21"/>
      <c r="C77" s="21"/>
      <c r="D77" s="21"/>
      <c r="E77" s="19"/>
      <c r="F77" s="19"/>
      <c r="G77" s="19"/>
      <c r="H77" s="19"/>
      <c r="I77" s="24"/>
      <c r="J77" s="19"/>
      <c r="K77" s="19">
        <f t="shared" si="13"/>
        <v>0</v>
      </c>
    </row>
    <row r="78" spans="1:11" x14ac:dyDescent="0.2">
      <c r="A78" s="29" t="s">
        <v>76</v>
      </c>
      <c r="B78" s="21"/>
      <c r="C78" s="21"/>
      <c r="D78" s="21"/>
      <c r="E78" s="19"/>
      <c r="F78" s="19"/>
      <c r="G78" s="19"/>
      <c r="H78" s="19"/>
      <c r="I78" s="19"/>
      <c r="J78" s="19"/>
      <c r="K78" s="19">
        <f t="shared" si="13"/>
        <v>0</v>
      </c>
    </row>
    <row r="79" spans="1:11" x14ac:dyDescent="0.2">
      <c r="A79" s="29" t="s">
        <v>62</v>
      </c>
      <c r="B79" s="21"/>
      <c r="C79" s="21"/>
      <c r="D79" s="21"/>
      <c r="E79" s="19"/>
      <c r="F79" s="19"/>
      <c r="G79" s="19"/>
      <c r="H79" s="19"/>
      <c r="I79" s="19"/>
      <c r="J79" s="19"/>
      <c r="K79" s="19">
        <f t="shared" si="13"/>
        <v>0</v>
      </c>
    </row>
    <row r="80" spans="1:11" x14ac:dyDescent="0.2">
      <c r="A80" s="29" t="s">
        <v>77</v>
      </c>
      <c r="B80" s="21"/>
      <c r="C80" s="21"/>
      <c r="D80" s="21"/>
      <c r="E80" s="19"/>
      <c r="F80" s="19"/>
      <c r="G80" s="19"/>
      <c r="H80" s="19"/>
      <c r="I80" s="19"/>
      <c r="J80" s="19"/>
      <c r="K80" s="19">
        <f t="shared" si="13"/>
        <v>0</v>
      </c>
    </row>
    <row r="81" spans="1:11" x14ac:dyDescent="0.2">
      <c r="A81" s="29" t="s">
        <v>78</v>
      </c>
      <c r="B81" s="21"/>
      <c r="C81" s="21"/>
      <c r="D81" s="21"/>
      <c r="E81" s="19"/>
      <c r="F81" s="19"/>
      <c r="G81" s="19"/>
      <c r="H81" s="19"/>
      <c r="I81" s="19"/>
      <c r="J81" s="19"/>
      <c r="K81" s="19">
        <f t="shared" si="13"/>
        <v>0</v>
      </c>
    </row>
    <row r="82" spans="1:11" x14ac:dyDescent="0.2">
      <c r="A82" s="29" t="s">
        <v>79</v>
      </c>
      <c r="B82" s="21"/>
      <c r="C82" s="21"/>
      <c r="D82" s="21"/>
      <c r="E82" s="19"/>
      <c r="F82" s="19"/>
      <c r="G82" s="19"/>
      <c r="H82" s="19"/>
      <c r="I82" s="19"/>
      <c r="J82" s="19"/>
      <c r="K82" s="19">
        <f t="shared" si="13"/>
        <v>0</v>
      </c>
    </row>
    <row r="83" spans="1:11" x14ac:dyDescent="0.2">
      <c r="A83" s="29" t="s">
        <v>80</v>
      </c>
      <c r="B83" s="21"/>
      <c r="C83" s="21"/>
      <c r="D83" s="21"/>
      <c r="E83" s="19"/>
      <c r="F83" s="19"/>
      <c r="G83" s="19"/>
      <c r="H83" s="19"/>
      <c r="I83" s="19"/>
      <c r="J83" s="19"/>
      <c r="K83" s="19">
        <f t="shared" si="13"/>
        <v>0</v>
      </c>
    </row>
    <row r="84" spans="1:11" x14ac:dyDescent="0.2">
      <c r="A84" s="29" t="s">
        <v>81</v>
      </c>
      <c r="B84" s="21"/>
      <c r="C84" s="21"/>
      <c r="D84" s="21"/>
      <c r="E84" s="19"/>
      <c r="F84" s="19"/>
      <c r="G84" s="19"/>
      <c r="H84" s="19"/>
      <c r="I84" s="19"/>
      <c r="J84" s="19"/>
      <c r="K84" s="19">
        <f t="shared" si="13"/>
        <v>0</v>
      </c>
    </row>
    <row r="85" spans="1:11" x14ac:dyDescent="0.2">
      <c r="A85" s="29" t="s">
        <v>82</v>
      </c>
      <c r="B85" s="21"/>
      <c r="C85" s="21"/>
      <c r="D85" s="21"/>
      <c r="E85" s="19"/>
      <c r="F85" s="19"/>
      <c r="G85" s="19"/>
      <c r="H85" s="19"/>
      <c r="I85" s="19"/>
      <c r="J85" s="19"/>
      <c r="K85" s="19">
        <f t="shared" si="13"/>
        <v>0</v>
      </c>
    </row>
    <row r="86" spans="1:11" x14ac:dyDescent="0.2">
      <c r="A86" s="28" t="s">
        <v>83</v>
      </c>
      <c r="B86" s="10"/>
      <c r="C86" s="10"/>
      <c r="D86" s="10"/>
      <c r="E86" s="10">
        <f>SUM(E87)</f>
        <v>0</v>
      </c>
      <c r="F86" s="10">
        <f t="shared" ref="F86:J86" si="14">SUM(F87)</f>
        <v>0</v>
      </c>
      <c r="G86" s="10">
        <f t="shared" si="14"/>
        <v>9484475</v>
      </c>
      <c r="H86" s="10">
        <f t="shared" si="14"/>
        <v>511420</v>
      </c>
      <c r="I86" s="10">
        <f t="shared" si="14"/>
        <v>0</v>
      </c>
      <c r="J86" s="10">
        <f t="shared" si="14"/>
        <v>0</v>
      </c>
      <c r="K86" s="10">
        <f t="shared" si="13"/>
        <v>9995895</v>
      </c>
    </row>
    <row r="87" spans="1:11" x14ac:dyDescent="0.2">
      <c r="A87" s="29" t="s">
        <v>84</v>
      </c>
      <c r="B87" s="21"/>
      <c r="C87" s="21"/>
      <c r="D87" s="21"/>
      <c r="E87" s="19"/>
      <c r="F87" s="19"/>
      <c r="G87" s="20">
        <f>16520+3810805+1069810+379500+4207840</f>
        <v>9484475</v>
      </c>
      <c r="H87" s="19">
        <f>59578+8142+443700</f>
        <v>511420</v>
      </c>
      <c r="I87" s="19"/>
      <c r="J87" s="19"/>
      <c r="K87" s="19">
        <f t="shared" si="13"/>
        <v>9995895</v>
      </c>
    </row>
    <row r="88" spans="1:11" x14ac:dyDescent="0.2">
      <c r="A88" s="31" t="s">
        <v>85</v>
      </c>
      <c r="B88" s="10"/>
      <c r="C88" s="10"/>
      <c r="D88" s="10"/>
      <c r="E88" s="10">
        <f>SUM(E89:E90)</f>
        <v>0</v>
      </c>
      <c r="F88" s="10">
        <f t="shared" ref="F88:J88" si="15">SUM(F89:F90)</f>
        <v>0</v>
      </c>
      <c r="G88" s="10">
        <f t="shared" si="15"/>
        <v>0</v>
      </c>
      <c r="H88" s="10">
        <f t="shared" si="15"/>
        <v>0</v>
      </c>
      <c r="I88" s="10">
        <f t="shared" si="15"/>
        <v>0</v>
      </c>
      <c r="J88" s="10">
        <f t="shared" si="15"/>
        <v>0</v>
      </c>
      <c r="K88" s="10">
        <f t="shared" si="13"/>
        <v>0</v>
      </c>
    </row>
    <row r="89" spans="1:11" x14ac:dyDescent="0.2">
      <c r="A89" s="29" t="s">
        <v>86</v>
      </c>
      <c r="B89" s="21"/>
      <c r="C89" s="21"/>
      <c r="D89" s="21"/>
      <c r="E89" s="19"/>
      <c r="F89" s="19"/>
      <c r="G89" s="19"/>
      <c r="H89" s="19"/>
      <c r="I89" s="19"/>
      <c r="J89" s="19"/>
      <c r="K89" s="19">
        <f t="shared" si="13"/>
        <v>0</v>
      </c>
    </row>
    <row r="90" spans="1:11" x14ac:dyDescent="0.2">
      <c r="A90" s="29" t="s">
        <v>87</v>
      </c>
      <c r="B90" s="21"/>
      <c r="C90" s="21"/>
      <c r="D90" s="21"/>
      <c r="E90" s="19"/>
      <c r="F90" s="19"/>
      <c r="G90" s="19"/>
      <c r="H90" s="20"/>
      <c r="I90" s="17"/>
      <c r="J90" s="19"/>
      <c r="K90" s="19">
        <f t="shared" si="13"/>
        <v>0</v>
      </c>
    </row>
    <row r="91" spans="1:11" x14ac:dyDescent="0.2">
      <c r="A91" s="28" t="s">
        <v>88</v>
      </c>
      <c r="B91" s="10">
        <v>875767</v>
      </c>
      <c r="C91" s="10">
        <v>35.799999999999997</v>
      </c>
      <c r="D91" s="10">
        <v>20</v>
      </c>
      <c r="E91" s="10">
        <f>SUM(E92:E98)</f>
        <v>0</v>
      </c>
      <c r="F91" s="10">
        <f t="shared" ref="F91:H91" si="16">SUM(F92:F98)</f>
        <v>762998.32</v>
      </c>
      <c r="G91" s="10">
        <f t="shared" si="16"/>
        <v>75000</v>
      </c>
      <c r="H91" s="10">
        <f t="shared" si="16"/>
        <v>1911034</v>
      </c>
      <c r="I91" s="10">
        <f>SUM(I92:I98)</f>
        <v>0</v>
      </c>
      <c r="J91" s="10">
        <f>SUM(J92:J98)</f>
        <v>0</v>
      </c>
      <c r="K91" s="10">
        <f t="shared" si="13"/>
        <v>2749032.32</v>
      </c>
    </row>
    <row r="92" spans="1:11" x14ac:dyDescent="0.2">
      <c r="A92" s="27" t="s">
        <v>89</v>
      </c>
      <c r="B92" s="11"/>
      <c r="C92" s="11"/>
      <c r="D92" s="11"/>
      <c r="E92" s="25"/>
      <c r="F92" s="25">
        <f>7434+7434+4484+9794+9794+25000</f>
        <v>63940</v>
      </c>
      <c r="G92" s="25">
        <f>25000+25000+25000</f>
        <v>75000</v>
      </c>
      <c r="H92" s="25">
        <f>77290+12272+9794</f>
        <v>99356</v>
      </c>
      <c r="I92" s="20"/>
      <c r="J92" s="25"/>
      <c r="K92" s="25">
        <f t="shared" si="13"/>
        <v>238296</v>
      </c>
    </row>
    <row r="93" spans="1:11" x14ac:dyDescent="0.2">
      <c r="A93" s="27" t="s">
        <v>90</v>
      </c>
      <c r="B93" s="11"/>
      <c r="C93" s="11"/>
      <c r="D93" s="11"/>
      <c r="E93" s="25"/>
      <c r="F93" s="25">
        <f>8000</f>
        <v>8000</v>
      </c>
      <c r="G93" s="170"/>
      <c r="H93" s="25">
        <f>18800+10000+16520+8000</f>
        <v>53320</v>
      </c>
      <c r="I93" s="20"/>
      <c r="J93" s="25"/>
      <c r="K93" s="25">
        <f t="shared" si="13"/>
        <v>61320</v>
      </c>
    </row>
    <row r="94" spans="1:11" x14ac:dyDescent="0.2">
      <c r="A94" s="27" t="s">
        <v>91</v>
      </c>
      <c r="B94" s="11"/>
      <c r="C94" s="11"/>
      <c r="D94" s="11"/>
      <c r="E94" s="25"/>
      <c r="F94" s="25">
        <f>173250+183750+183750</f>
        <v>540750</v>
      </c>
      <c r="G94" s="25"/>
      <c r="H94" s="25">
        <f>267750+351750+173250+99750+99750+120750+225750+173250</f>
        <v>1512000</v>
      </c>
      <c r="I94" s="20"/>
      <c r="J94" s="25"/>
      <c r="K94" s="25">
        <f t="shared" si="13"/>
        <v>2052750</v>
      </c>
    </row>
    <row r="95" spans="1:11" x14ac:dyDescent="0.2">
      <c r="A95" s="30" t="s">
        <v>92</v>
      </c>
      <c r="B95" s="21"/>
      <c r="C95" s="21"/>
      <c r="D95" s="21"/>
      <c r="E95" s="25"/>
      <c r="F95" s="25"/>
      <c r="G95" s="25"/>
      <c r="H95" s="25"/>
      <c r="I95" s="20"/>
      <c r="J95" s="25"/>
      <c r="K95" s="25">
        <f t="shared" si="13"/>
        <v>0</v>
      </c>
    </row>
    <row r="96" spans="1:11" x14ac:dyDescent="0.2">
      <c r="A96" s="30" t="s">
        <v>93</v>
      </c>
      <c r="B96" s="21"/>
      <c r="C96" s="21"/>
      <c r="D96" s="21"/>
      <c r="E96" s="25"/>
      <c r="F96" s="25">
        <f>11210+11210+11210+71200</f>
        <v>104830</v>
      </c>
      <c r="G96" s="25"/>
      <c r="H96" s="25">
        <f>25000+30000</f>
        <v>55000</v>
      </c>
      <c r="I96" s="20"/>
      <c r="J96" s="25"/>
      <c r="K96" s="25">
        <f t="shared" si="13"/>
        <v>159830</v>
      </c>
    </row>
    <row r="97" spans="1:12" x14ac:dyDescent="0.2">
      <c r="A97" s="30" t="s">
        <v>94</v>
      </c>
      <c r="B97" s="21"/>
      <c r="C97" s="21"/>
      <c r="D97" s="21"/>
      <c r="E97" s="23"/>
      <c r="F97" s="23">
        <f>13.32+16862+28603</f>
        <v>45478.32</v>
      </c>
      <c r="G97" s="23"/>
      <c r="H97" s="23">
        <f>46077+46077+95580+3540+84</f>
        <v>191358</v>
      </c>
      <c r="I97" s="20"/>
      <c r="J97" s="23"/>
      <c r="K97" s="23">
        <f t="shared" si="13"/>
        <v>236836.32</v>
      </c>
    </row>
    <row r="98" spans="1:12" x14ac:dyDescent="0.2">
      <c r="A98" s="30" t="s">
        <v>95</v>
      </c>
      <c r="B98" s="21"/>
      <c r="C98" s="21"/>
      <c r="D98" s="21"/>
      <c r="E98" s="23"/>
      <c r="F98" s="23"/>
      <c r="G98" s="23"/>
      <c r="I98" s="23"/>
      <c r="J98" s="23"/>
      <c r="K98" s="23">
        <f t="shared" si="13"/>
        <v>0</v>
      </c>
    </row>
    <row r="99" spans="1:12" ht="14.25" customHeight="1" thickBot="1" x14ac:dyDescent="0.25">
      <c r="A99" s="32" t="s">
        <v>96</v>
      </c>
      <c r="B99" s="33"/>
      <c r="C99" s="33"/>
      <c r="D99" s="33"/>
      <c r="E99" s="34">
        <f>SUM(E91,E88,E86,E68,E55,E50,E43,E41,E39,E34,E27,E17,E15,E8,E4)</f>
        <v>1056100</v>
      </c>
      <c r="F99" s="34">
        <f t="shared" ref="F99:J99" si="17">SUM(F91,F88,F86,F68,F55,F50,F43,F41,F39,F34,F27,F17,F15,F8,F4)</f>
        <v>4811498.32</v>
      </c>
      <c r="G99" s="34">
        <f t="shared" si="17"/>
        <v>9709475</v>
      </c>
      <c r="H99" s="34">
        <f t="shared" si="17"/>
        <v>4076534</v>
      </c>
      <c r="I99" s="34">
        <f t="shared" si="17"/>
        <v>0</v>
      </c>
      <c r="J99" s="34">
        <f t="shared" si="17"/>
        <v>0</v>
      </c>
      <c r="K99" s="34">
        <f>SUM(E99:J99)</f>
        <v>19653607.32</v>
      </c>
      <c r="L99"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 (2)</vt:lpstr>
      <vt:lpstr>Master</vt:lpstr>
      <vt:lpstr>APR</vt:lpstr>
      <vt:lpstr>MAY</vt:lpstr>
      <vt:lpstr>JUN</vt:lpstr>
      <vt:lpstr>JUL</vt:lpstr>
      <vt:lpstr>AUG</vt:lpstr>
      <vt:lpstr>SEP</vt:lpstr>
      <vt:lpstr>OCT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Kunal Yadav</dc:creator>
  <cp:lastModifiedBy>Kunal Yadav</cp:lastModifiedBy>
  <cp:lastPrinted>2024-05-27T12:36:19Z</cp:lastPrinted>
  <dcterms:created xsi:type="dcterms:W3CDTF">2024-04-15T06:17:47Z</dcterms:created>
  <dcterms:modified xsi:type="dcterms:W3CDTF">2024-10-20T09:07:22Z</dcterms:modified>
</cp:coreProperties>
</file>